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ncingmarine.sharepoint.com/sites/LM/OPS/04_Products/P/Python Drive/"/>
    </mc:Choice>
  </mc:AlternateContent>
  <xr:revisionPtr revIDLastSave="2" documentId="8_{B112A5C7-04CC-4942-ACDC-7BAFE0542838}" xr6:coauthVersionLast="47" xr6:coauthVersionMax="47" xr10:uidLastSave="{440F915A-A997-4B76-BF6A-0E705F1471C7}"/>
  <bookViews>
    <workbookView xWindow="-108" yWindow="-108" windowWidth="30936" windowHeight="12456" xr2:uid="{00000000-000D-0000-FFFF-FFFF00000000}"/>
  </bookViews>
  <sheets>
    <sheet name="INPUT" sheetId="1" r:id="rId1"/>
    <sheet name="MATRIX" sheetId="2" r:id="rId2"/>
    <sheet name="CHARTS" sheetId="3" r:id="rId3"/>
  </sheets>
  <definedNames>
    <definedName name="DispThrust">INPUT!$C$20</definedName>
    <definedName name="GBE">INPUT!$B$9</definedName>
    <definedName name="HeavyCommercial">INPUT!$B$28</definedName>
    <definedName name="LightCommercial">INPUT!$B$27</definedName>
    <definedName name="MET">INPUT!$B$13</definedName>
    <definedName name="MHP">INPUT!$B$5</definedName>
    <definedName name="MKW">INPUT!$B$6</definedName>
    <definedName name="MST">INPUT!$B$14</definedName>
    <definedName name="PlaningThrust">INPUT!$C$18</definedName>
    <definedName name="PleasureBoat">INPUT!$B$26</definedName>
    <definedName name="_xlnm.Print_Area" localSheetId="0">INPUT!$A$1:$E$49</definedName>
    <definedName name="RPM">INPUT!$B$7</definedName>
    <definedName name="SemiDispThrust">INPUT!$C$19</definedName>
    <definedName name="Status">INPUT!$B$4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46" i="1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86" i="3"/>
  <c r="B13" i="1"/>
  <c r="C19" i="1" s="1"/>
  <c r="G9" i="1"/>
  <c r="C49" i="1" l="1"/>
  <c r="D49" i="1" s="1"/>
  <c r="E49" i="1" s="1"/>
  <c r="C20" i="1"/>
  <c r="C18" i="1"/>
  <c r="D6" i="1"/>
  <c r="D5" i="1"/>
  <c r="G6" i="1"/>
  <c r="G5" i="1"/>
  <c r="G7" i="1"/>
  <c r="G8" i="1" l="1"/>
  <c r="B4" i="1" s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" i="2"/>
  <c r="E17" i="2"/>
  <c r="H16" i="2"/>
  <c r="H17" i="2" s="1"/>
  <c r="H18" i="2" s="1"/>
  <c r="H19" i="2" s="1"/>
  <c r="H13" i="2"/>
  <c r="F4" i="2"/>
  <c r="B20" i="1"/>
  <c r="B19" i="1"/>
  <c r="B18" i="1"/>
  <c r="D13" i="1"/>
  <c r="D14" i="1" s="1"/>
  <c r="K9" i="2" l="1"/>
  <c r="K17" i="2"/>
  <c r="I8" i="2"/>
  <c r="I19" i="2"/>
  <c r="I5" i="2"/>
  <c r="I18" i="2"/>
  <c r="I4" i="2"/>
  <c r="I16" i="2"/>
  <c r="I3" i="2"/>
  <c r="I2" i="2"/>
  <c r="I14" i="2"/>
  <c r="K10" i="2"/>
  <c r="I12" i="2"/>
  <c r="I11" i="2"/>
  <c r="I7" i="2"/>
  <c r="I6" i="2"/>
  <c r="I15" i="2"/>
  <c r="I10" i="2"/>
  <c r="I9" i="2"/>
  <c r="J18" i="2"/>
  <c r="J14" i="2"/>
  <c r="K7" i="2"/>
  <c r="K6" i="2"/>
  <c r="K2" i="2"/>
  <c r="J5" i="2"/>
  <c r="J16" i="2"/>
  <c r="J4" i="2"/>
  <c r="J15" i="2"/>
  <c r="J3" i="2"/>
  <c r="K8" i="2"/>
  <c r="J2" i="2"/>
  <c r="J13" i="2"/>
  <c r="K19" i="2"/>
  <c r="J12" i="2"/>
  <c r="K18" i="2"/>
  <c r="K5" i="2"/>
  <c r="J11" i="2"/>
  <c r="K16" i="2"/>
  <c r="K4" i="2"/>
  <c r="J10" i="2"/>
  <c r="K15" i="2"/>
  <c r="K3" i="2"/>
  <c r="J9" i="2"/>
  <c r="K14" i="2"/>
  <c r="J8" i="2"/>
  <c r="K13" i="2"/>
  <c r="J7" i="2"/>
  <c r="K12" i="2"/>
  <c r="I13" i="2"/>
  <c r="J19" i="2"/>
  <c r="J6" i="2"/>
  <c r="K11" i="2"/>
  <c r="J17" i="2"/>
  <c r="I17" i="2"/>
  <c r="B14" i="1"/>
  <c r="C46" i="1" s="1"/>
  <c r="D46" i="1" s="1"/>
  <c r="E46" i="1" s="1"/>
  <c r="B27" i="1" l="1"/>
  <c r="M12" i="2" s="1"/>
  <c r="B26" i="1"/>
  <c r="B38" i="1" a="1"/>
  <c r="B38" i="1" s="1"/>
  <c r="C38" i="1" a="1"/>
  <c r="C38" i="1" s="1"/>
  <c r="D38" i="1" a="1"/>
  <c r="D38" i="1" s="1"/>
  <c r="M10" i="2" l="1"/>
  <c r="M6" i="2"/>
  <c r="M8" i="2"/>
  <c r="M9" i="2"/>
  <c r="M17" i="2"/>
  <c r="M11" i="2"/>
  <c r="M15" i="2"/>
  <c r="M19" i="2"/>
  <c r="M3" i="2"/>
  <c r="M7" i="2"/>
  <c r="M16" i="2"/>
  <c r="M4" i="2"/>
  <c r="M13" i="2"/>
  <c r="M5" i="2"/>
  <c r="M14" i="2"/>
  <c r="M18" i="2"/>
  <c r="L9" i="2"/>
  <c r="L11" i="2"/>
  <c r="L15" i="2"/>
  <c r="L19" i="2"/>
  <c r="L8" i="2"/>
  <c r="L17" i="2"/>
  <c r="L10" i="2"/>
  <c r="L14" i="2"/>
  <c r="L18" i="2"/>
  <c r="L3" i="2"/>
  <c r="L7" i="2"/>
  <c r="L12" i="2"/>
  <c r="L16" i="2"/>
  <c r="L4" i="2"/>
  <c r="L13" i="2"/>
  <c r="L5" i="2"/>
  <c r="L6" i="2"/>
  <c r="M2" i="2"/>
  <c r="L2" i="2"/>
  <c r="D36" i="1" l="1" a="1"/>
  <c r="D36" i="1" s="1"/>
  <c r="C36" i="1" a="1"/>
  <c r="C36" i="1" s="1"/>
  <c r="B36" i="1" a="1"/>
  <c r="B36" i="1" s="1"/>
  <c r="D37" i="1" a="1"/>
  <c r="D37" i="1" s="1"/>
  <c r="B37" i="1" a="1"/>
  <c r="B37" i="1" s="1"/>
  <c r="C37" i="1" a="1"/>
  <c r="C37" i="1" s="1"/>
  <c r="B42" i="1" l="1"/>
  <c r="B45" i="1" s="1"/>
  <c r="B48" i="1" l="1"/>
  <c r="C45" i="1" l="1"/>
  <c r="D45" i="1" s="1"/>
  <c r="E45" i="1" s="1"/>
  <c r="C48" i="1"/>
  <c r="D48" i="1" s="1"/>
  <c r="E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<sst xmlns="http://schemas.openxmlformats.org/spreadsheetml/2006/main" count="191" uniqueCount="131">
  <si>
    <t xml:space="preserve">Max. HP rating of your engine </t>
  </si>
  <si>
    <t>Planing hull</t>
  </si>
  <si>
    <t>Semi planing / semi displacement hull</t>
  </si>
  <si>
    <t>Displacement hull</t>
  </si>
  <si>
    <t>:1</t>
  </si>
  <si>
    <t>Kgm.</t>
  </si>
  <si>
    <t>Nm.</t>
  </si>
  <si>
    <t>HP</t>
  </si>
  <si>
    <t>rpm</t>
  </si>
  <si>
    <t xml:space="preserve">Max. rpm. of your engine </t>
  </si>
  <si>
    <t>kW</t>
  </si>
  <si>
    <r>
      <rPr>
        <b/>
        <sz val="18"/>
        <color rgb="FF002060"/>
        <rFont val="Braggadocio"/>
        <family val="5"/>
      </rPr>
      <t>Python-Drive</t>
    </r>
    <r>
      <rPr>
        <b/>
        <sz val="18"/>
        <color rgb="FF002060"/>
        <rFont val="Arial"/>
        <family val="2"/>
      </rPr>
      <t xml:space="preserve"> Selection Tool</t>
    </r>
  </si>
  <si>
    <t>INPUT DATA</t>
  </si>
  <si>
    <t>Caculated Engine &amp; Shaft Torque</t>
  </si>
  <si>
    <t xml:space="preserve">Caculated Thrust </t>
  </si>
  <si>
    <t>MAX THRUST
(kg)</t>
  </si>
  <si>
    <t>MAX THRUST
(kN)</t>
  </si>
  <si>
    <t>Approximate for installation*</t>
  </si>
  <si>
    <t>Depending on application, choose a Python-Drive model with a stated maximum torque of at least:</t>
  </si>
  <si>
    <t>Max Engine Torque</t>
  </si>
  <si>
    <t>Max Prop Shaft Torque</t>
  </si>
  <si>
    <t>Memo</t>
  </si>
  <si>
    <t>* Indication only. Please review with your propeller supplier for more accurate actual propeller thrust information.</t>
  </si>
  <si>
    <r>
      <t xml:space="preserve">Instructions: </t>
    </r>
    <r>
      <rPr>
        <sz val="10"/>
        <color theme="1"/>
        <rFont val="Arial"/>
        <family val="2"/>
      </rPr>
      <t>Please fill in the required data in the three Yellow boxes. The result will be then be caculated.</t>
    </r>
  </si>
  <si>
    <t>Python-Drive Model Selection</t>
  </si>
  <si>
    <t>Application</t>
  </si>
  <si>
    <t>Pleasure Boat</t>
  </si>
  <si>
    <t>Light Commercial</t>
  </si>
  <si>
    <t>Heavy Commercial</t>
  </si>
  <si>
    <t>Max Torque
(kgm)</t>
  </si>
  <si>
    <t>Dealer to advise</t>
  </si>
  <si>
    <t>Max 500 hrs./yr</t>
  </si>
  <si>
    <t>Pleasure Boat (No Rental Boats*1)</t>
  </si>
  <si>
    <t>*2 Initial Model Selection. Consult dealer to confirm selected model ahead of order</t>
  </si>
  <si>
    <t>*1 All Rental boats are classed as Light Commercial for Python-Drive Selection</t>
  </si>
  <si>
    <t>Model no.</t>
  </si>
  <si>
    <t>P30-R</t>
  </si>
  <si>
    <t>P60-B</t>
  </si>
  <si>
    <t>P60-K</t>
  </si>
  <si>
    <t>P80-M</t>
  </si>
  <si>
    <t>P80-S</t>
  </si>
  <si>
    <t>P110-S</t>
  </si>
  <si>
    <t>P110-T</t>
  </si>
  <si>
    <t>P140-T</t>
  </si>
  <si>
    <t>P200-T</t>
  </si>
  <si>
    <t>P200-Q</t>
  </si>
  <si>
    <t>P200-W</t>
  </si>
  <si>
    <t>P501-Q</t>
  </si>
  <si>
    <t>P501-W</t>
  </si>
  <si>
    <t>P501-L</t>
  </si>
  <si>
    <t>P755-L</t>
  </si>
  <si>
    <t>P1025-L</t>
  </si>
  <si>
    <t>P1025-G</t>
  </si>
  <si>
    <t>P1500-G</t>
  </si>
  <si>
    <t>Max Shaft Torque
kgm</t>
  </si>
  <si>
    <t>Max Shaft Torque
Nm</t>
  </si>
  <si>
    <t>Propeller Shaft dia (mm)</t>
  </si>
  <si>
    <t>Max Prop Thrust (kN)</t>
  </si>
  <si>
    <t>Example Application</t>
  </si>
  <si>
    <t>19 - 30 mm</t>
  </si>
  <si>
    <t>50 Hp / 3000rpm 2.5:1</t>
  </si>
  <si>
    <t>70 Hp / 2600rpm 3.5:1</t>
  </si>
  <si>
    <t>30 - 45 mm</t>
  </si>
  <si>
    <t>105 Hp / 3000rpm 3:1</t>
  </si>
  <si>
    <t>130 Hp / 3400rpm 2:1</t>
  </si>
  <si>
    <t>137 Hp / 3400rpm 2:1</t>
  </si>
  <si>
    <t>135 Hp / 2700rpm 3:1</t>
  </si>
  <si>
    <t>180 Hp / 2400rpm 2:1</t>
  </si>
  <si>
    <t>40 - 55 mm</t>
  </si>
  <si>
    <t>35 - 50 mm</t>
  </si>
  <si>
    <t>190 Hp / 3400rpm 2:1</t>
  </si>
  <si>
    <t>40 - 60 mm</t>
  </si>
  <si>
    <t>240 Hp / 2300rpm 2.5:1</t>
  </si>
  <si>
    <t>250 Hp / 2800rpm 3:1</t>
  </si>
  <si>
    <t>50 - 60 mm</t>
  </si>
  <si>
    <t>275 Hp / 2500rpm 2.5:1</t>
  </si>
  <si>
    <t>Maximum  Shaft Speed</t>
  </si>
  <si>
    <t>50 - 80 mm</t>
  </si>
  <si>
    <t>400 Hp / 2200rpm 3:1</t>
  </si>
  <si>
    <t>500 Hp / 2200rpm 3:1</t>
  </si>
  <si>
    <t>70 - 80 mm</t>
  </si>
  <si>
    <t>600 Hp / 2200rpm 3:1</t>
  </si>
  <si>
    <t>750 Hp / 2000rpm 3:1</t>
  </si>
  <si>
    <t>70 - 100 mm</t>
  </si>
  <si>
    <t>800 Hp / 1900rpm 3:1</t>
  </si>
  <si>
    <t>80 - 100 mm</t>
  </si>
  <si>
    <t>950 Hp / 1900rpm 3:1</t>
  </si>
  <si>
    <t>Caculated Propeller Shaft Torque</t>
  </si>
  <si>
    <t>Pleasure Boat Shaft Torque</t>
  </si>
  <si>
    <t>Planing hull Thrust</t>
  </si>
  <si>
    <t>ADMIN</t>
  </si>
  <si>
    <t>Disp.Hull Thrust</t>
  </si>
  <si>
    <t>Semi Disp. Hull Thrust</t>
  </si>
  <si>
    <t>Light Comm. Shaft Torque</t>
  </si>
  <si>
    <t>Heavy Comm. Shaft Torque</t>
  </si>
  <si>
    <t>255mm</t>
  </si>
  <si>
    <t>CV Drive Shaft Standard Lengths</t>
  </si>
  <si>
    <t>145, 165, 195, 250mm</t>
  </si>
  <si>
    <t>180, 225mm</t>
  </si>
  <si>
    <t>221, 260mm</t>
  </si>
  <si>
    <t>25 - 40 mm</t>
  </si>
  <si>
    <t>Max. 1500 hrs./yr (Equivilant torque rating for unit selection).</t>
  </si>
  <si>
    <t xml:space="preserve">Max. KW rating of your engine </t>
  </si>
  <si>
    <t>KW</t>
  </si>
  <si>
    <t>Gearbox Reduction Ratio</t>
  </si>
  <si>
    <t>Gearbox Efficiency</t>
  </si>
  <si>
    <t>Vessel Type</t>
  </si>
  <si>
    <t>Vessel Duty</t>
  </si>
  <si>
    <t>Python-Drive Model</t>
  </si>
  <si>
    <t>GB EFFY</t>
  </si>
  <si>
    <t>Planing Hull</t>
  </si>
  <si>
    <t>Semi planing / semi displacement Hull</t>
  </si>
  <si>
    <t>Displacement Hull</t>
  </si>
  <si>
    <t>Shaft Torque Analysis</t>
  </si>
  <si>
    <t>Shaft Thrust Analysis</t>
  </si>
  <si>
    <t>UNIT Prop Thrust (kN)</t>
  </si>
  <si>
    <t>UNIT Torque (kgm)</t>
  </si>
  <si>
    <t>Application Torque (kgm)</t>
  </si>
  <si>
    <t>Application Prop Thrust (kN)</t>
  </si>
  <si>
    <t>Thrust Reserve
(kN)</t>
  </si>
  <si>
    <t xml:space="preserve"> Percent Torque Reserve Vs Specification (%)</t>
  </si>
  <si>
    <t>Percent Thrust Reserve Vs. Specification (%)</t>
  </si>
  <si>
    <t>Select</t>
  </si>
  <si>
    <t>Result</t>
  </si>
  <si>
    <t>Constant</t>
  </si>
  <si>
    <t>Status</t>
  </si>
  <si>
    <t>Max Propeller Shaft dia (mm)</t>
  </si>
  <si>
    <t>Min Propeller Shaft dia (mm)</t>
  </si>
  <si>
    <t>Torque Reserve (kgm)</t>
  </si>
  <si>
    <t>Alternative</t>
  </si>
  <si>
    <t>Manual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</si>
</sst>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"/>
    <numFmt numFmtId="166" formatCode="0&quot; kgm&quot;"/>
    <numFmt numFmtId="167" formatCode="0\ &quot;Nm&quot;"/>
    <numFmt numFmtId="168" formatCode="0.0\ &quot;kN&quot;"/>
    <numFmt numFmtId="169" formatCode="0\ &quot;rpm&quot;"/>
    <numFmt numFmtId="170" formatCode="0.0%"/>
    <numFmt numFmtId="171" formatCode="0\ &quot;mm&quot;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Arial"/>
      <family val="5"/>
    </font>
    <font>
      <b/>
      <sz val="18"/>
      <color rgb="FF002060"/>
      <name val="Braggadocio"/>
      <family val="5"/>
    </font>
    <font>
      <b/>
      <sz val="18"/>
      <color rgb="FF002060"/>
      <name val="Arial"/>
      <family val="2"/>
    </font>
    <font>
      <b/>
      <sz val="18"/>
      <color rgb="FF002060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8" fillId="0" borderId="5" xfId="0" applyFont="1" applyBorder="1"/>
    <xf numFmtId="0" fontId="1" fillId="0" borderId="5" xfId="0" applyFont="1" applyBorder="1" applyAlignment="1">
      <alignment horizontal="right"/>
    </xf>
    <xf numFmtId="0" fontId="0" fillId="0" borderId="7" xfId="0" applyBorder="1"/>
    <xf numFmtId="0" fontId="8" fillId="0" borderId="2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3" fillId="0" borderId="2" xfId="0" applyFont="1" applyBorder="1"/>
    <xf numFmtId="0" fontId="7" fillId="0" borderId="0" xfId="0" applyFont="1" applyAlignment="1">
      <alignment vertical="center"/>
    </xf>
    <xf numFmtId="0" fontId="1" fillId="0" borderId="5" xfId="0" applyFont="1" applyBorder="1"/>
    <xf numFmtId="0" fontId="0" fillId="0" borderId="5" xfId="0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0" fillId="3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166" fontId="12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8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9" fontId="13" fillId="0" borderId="0" xfId="0" applyNumberFormat="1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166" fontId="9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0" xfId="0" applyFont="1"/>
    <xf numFmtId="169" fontId="11" fillId="0" borderId="0" xfId="0" applyNumberFormat="1" applyFont="1"/>
    <xf numFmtId="0" fontId="1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13" fillId="0" borderId="0" xfId="0" applyNumberFormat="1" applyFont="1" applyAlignment="1">
      <alignment horizontal="center" vertical="center" wrapText="1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top"/>
    </xf>
    <xf numFmtId="164" fontId="0" fillId="3" borderId="1" xfId="0" applyNumberFormat="1" applyFill="1" applyBorder="1" applyAlignment="1" applyProtection="1">
      <alignment horizontal="center"/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69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right"/>
    </xf>
    <xf numFmtId="171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170" fontId="0" fillId="3" borderId="10" xfId="0" applyNumberFormat="1" applyFill="1" applyBorder="1" applyAlignment="1" applyProtection="1">
      <alignment horizontal="center" vertical="center"/>
      <protection hidden="1"/>
    </xf>
    <xf numFmtId="2" fontId="0" fillId="3" borderId="11" xfId="0" applyNumberFormat="1" applyFill="1" applyBorder="1" applyAlignment="1" applyProtection="1">
      <alignment horizontal="center" vertical="center"/>
      <protection hidden="1"/>
    </xf>
    <xf numFmtId="170" fontId="0" fillId="3" borderId="11" xfId="0" applyNumberForma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22">
    <dxf>
      <font>
        <b val="0"/>
        <strike val="0"/>
        <outline val="0"/>
        <shadow val="0"/>
        <u val="none"/>
        <vertAlign val="baseline"/>
        <color auto="1"/>
        <family val="2"/>
      </font>
      <numFmt numFmtId="0" formatCode="General"/>
      <alignment horizontal="center" textRotation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color auto="1"/>
        <family val="2"/>
      </font>
      <numFmt numFmtId="0" formatCode="General"/>
      <alignment horizontal="center" textRotation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color auto="1"/>
        <family val="2"/>
      </font>
      <numFmt numFmtId="169" formatCode="0\ &quot;rpm&quot;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0\ &quot;rpm&quot;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0\ &quot;rpm&quot;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0\ &quot;rpm&quot;"/>
      <alignment horizontal="center" textRotation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color auto="1"/>
        <family val="2"/>
      </font>
      <numFmt numFmtId="169" formatCode="0\ &quot;rpm&quot;"/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alignment horizontal="general" vertical="bottom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alignment horizontal="general" vertical="bottom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numFmt numFmtId="168" formatCode="0.0\ &quot;kN&quot;"/>
      <alignment horizontal="center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alignment horizontal="center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numFmt numFmtId="167" formatCode="0\ &quot;Nm&quot;"/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6" formatCode="0&quot; kgm&quot;"/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border outline="0">
        <left style="thin">
          <color rgb="FF000000"/>
        </left>
      </border>
    </dxf>
    <dxf>
      <font>
        <b val="0"/>
        <strike val="0"/>
        <outline val="0"/>
        <shadow val="0"/>
        <u val="none"/>
        <vertAlign val="baseline"/>
        <color auto="1"/>
        <family val="2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lightTrellis"/>
      </fill>
    </dxf>
    <dxf>
      <fill>
        <patternFill patternType="lightTrellis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F81BD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/>
              <a:t>Python-Drive</a:t>
            </a:r>
            <a:r>
              <a:rPr lang="en-GB" sz="2400" b="1" baseline="0"/>
              <a:t> Shaft Torque Capacity</a:t>
            </a:r>
            <a:endParaRPr lang="en-GB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445100006543503"/>
          <c:y val="0.17586533902323379"/>
          <c:w val="0.84246497408045606"/>
          <c:h val="0.64758721566054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MATRIX!$C$1</c:f>
              <c:strCache>
                <c:ptCount val="1"/>
                <c:pt idx="0">
                  <c:v>Max Shaft Torque
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49999999999999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D-4C0B-A88C-7578372FA2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D-4C0B-A88C-7578372FA23E}"/>
                </c:ext>
              </c:extLst>
            </c:dLbl>
            <c:dLbl>
              <c:idx val="3"/>
              <c:layout>
                <c:manualLayout>
                  <c:x val="2.0833333333333332E-2"/>
                  <c:y val="-2.670940170940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D-4C0B-A88C-7578372FA2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D-4C0B-A88C-7578372FA2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D-4C0B-A88C-7578372FA23E}"/>
                </c:ext>
              </c:extLst>
            </c:dLbl>
            <c:dLbl>
              <c:idx val="6"/>
              <c:layout>
                <c:manualLayout>
                  <c:x val="-2.3611111111111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D-4C0B-A88C-7578372FA2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D-4C0B-A88C-7578372FA2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D-4C0B-A88C-7578372FA2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D-4C0B-A88C-7578372FA23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D-4C0B-A88C-7578372FA23E}"/>
                </c:ext>
              </c:extLst>
            </c:dLbl>
            <c:dLbl>
              <c:idx val="15"/>
              <c:layout>
                <c:manualLayout>
                  <c:x val="2.4999999999999797E-2"/>
                  <c:y val="-5.3418803418803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D-4C0B-A88C-7578372FA23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D-4C0B-A88C-7578372FA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MATRIX!$A$2:$A$19</c:f>
              <c:strCache>
                <c:ptCount val="18"/>
                <c:pt idx="0">
                  <c:v>P30-R</c:v>
                </c:pt>
                <c:pt idx="1">
                  <c:v>P60-B</c:v>
                </c:pt>
                <c:pt idx="2">
                  <c:v>P60-K</c:v>
                </c:pt>
                <c:pt idx="3">
                  <c:v>P80-M</c:v>
                </c:pt>
                <c:pt idx="4">
                  <c:v>P80-S</c:v>
                </c:pt>
                <c:pt idx="5">
                  <c:v>P110-S</c:v>
                </c:pt>
                <c:pt idx="6">
                  <c:v>P110-T</c:v>
                </c:pt>
                <c:pt idx="7">
                  <c:v>P140-T</c:v>
                </c:pt>
                <c:pt idx="8">
                  <c:v>P200-T</c:v>
                </c:pt>
                <c:pt idx="9">
                  <c:v>P200-Q</c:v>
                </c:pt>
                <c:pt idx="10">
                  <c:v>P200-W</c:v>
                </c:pt>
                <c:pt idx="11">
                  <c:v>P501-Q</c:v>
                </c:pt>
                <c:pt idx="12">
                  <c:v>P501-W</c:v>
                </c:pt>
                <c:pt idx="13">
                  <c:v>P501-L</c:v>
                </c:pt>
                <c:pt idx="14">
                  <c:v>P755-L</c:v>
                </c:pt>
                <c:pt idx="15">
                  <c:v>P1025-L</c:v>
                </c:pt>
                <c:pt idx="16">
                  <c:v>P1025-G</c:v>
                </c:pt>
                <c:pt idx="17">
                  <c:v>P1500-G</c:v>
                </c:pt>
              </c:strCache>
            </c:strRef>
          </c:cat>
          <c:val>
            <c:numRef>
              <c:f>MATRIX!$C$2:$C$19</c:f>
              <c:numCache>
                <c:formatCode>0\ "Nm"</c:formatCode>
                <c:ptCount val="18"/>
                <c:pt idx="0">
                  <c:v>294</c:v>
                </c:pt>
                <c:pt idx="1">
                  <c:v>588</c:v>
                </c:pt>
                <c:pt idx="2">
                  <c:v>588</c:v>
                </c:pt>
                <c:pt idx="3">
                  <c:v>785</c:v>
                </c:pt>
                <c:pt idx="4">
                  <c:v>785</c:v>
                </c:pt>
                <c:pt idx="5">
                  <c:v>1080</c:v>
                </c:pt>
                <c:pt idx="6">
                  <c:v>1080</c:v>
                </c:pt>
                <c:pt idx="7">
                  <c:v>1370</c:v>
                </c:pt>
                <c:pt idx="8">
                  <c:v>1960</c:v>
                </c:pt>
                <c:pt idx="9">
                  <c:v>1960</c:v>
                </c:pt>
                <c:pt idx="10">
                  <c:v>1960</c:v>
                </c:pt>
                <c:pt idx="11">
                  <c:v>4900</c:v>
                </c:pt>
                <c:pt idx="12">
                  <c:v>4900</c:v>
                </c:pt>
                <c:pt idx="13">
                  <c:v>4900</c:v>
                </c:pt>
                <c:pt idx="14">
                  <c:v>7355</c:v>
                </c:pt>
                <c:pt idx="15">
                  <c:v>9810</c:v>
                </c:pt>
                <c:pt idx="16">
                  <c:v>9810</c:v>
                </c:pt>
                <c:pt idx="17">
                  <c:v>14715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C0B-A88C-7578372F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046208"/>
        <c:axId val="1359048128"/>
      </c:barChart>
      <c:catAx>
        <c:axId val="13590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048128"/>
        <c:crosses val="autoZero"/>
        <c:auto val="1"/>
        <c:lblAlgn val="ctr"/>
        <c:lblOffset val="100"/>
        <c:noMultiLvlLbl val="0"/>
      </c:catAx>
      <c:valAx>
        <c:axId val="1359048128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N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046208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Python-Drive Thrust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3989501312335"/>
          <c:y val="0.17586532152230971"/>
          <c:w val="0.84246497408045606"/>
          <c:h val="0.65048073417906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MATRIX!$E$1</c:f>
              <c:strCache>
                <c:ptCount val="1"/>
                <c:pt idx="0">
                  <c:v>Max Prop Thrust (kN)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1-4E06-8BC4-A4F2394379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1-4E06-8BC4-A4F2394379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1-4E06-8BC4-A4F2394379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1-4E06-8BC4-A4F23943794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1-4E06-8BC4-A4F23943794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1-4E06-8BC4-A4F239437946}"/>
                </c:ext>
              </c:extLst>
            </c:dLbl>
            <c:dLbl>
              <c:idx val="16"/>
              <c:layout>
                <c:manualLayout>
                  <c:x val="2.6388888888888889E-2"/>
                  <c:y val="-2.8935185185185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1-4E06-8BC4-A4F23943794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1-4E06-8BC4-A4F239437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MATRIX!$A$2:$A$19</c:f>
              <c:strCache>
                <c:ptCount val="18"/>
                <c:pt idx="0">
                  <c:v>P30-R</c:v>
                </c:pt>
                <c:pt idx="1">
                  <c:v>P60-B</c:v>
                </c:pt>
                <c:pt idx="2">
                  <c:v>P60-K</c:v>
                </c:pt>
                <c:pt idx="3">
                  <c:v>P80-M</c:v>
                </c:pt>
                <c:pt idx="4">
                  <c:v>P80-S</c:v>
                </c:pt>
                <c:pt idx="5">
                  <c:v>P110-S</c:v>
                </c:pt>
                <c:pt idx="6">
                  <c:v>P110-T</c:v>
                </c:pt>
                <c:pt idx="7">
                  <c:v>P140-T</c:v>
                </c:pt>
                <c:pt idx="8">
                  <c:v>P200-T</c:v>
                </c:pt>
                <c:pt idx="9">
                  <c:v>P200-Q</c:v>
                </c:pt>
                <c:pt idx="10">
                  <c:v>P200-W</c:v>
                </c:pt>
                <c:pt idx="11">
                  <c:v>P501-Q</c:v>
                </c:pt>
                <c:pt idx="12">
                  <c:v>P501-W</c:v>
                </c:pt>
                <c:pt idx="13">
                  <c:v>P501-L</c:v>
                </c:pt>
                <c:pt idx="14">
                  <c:v>P755-L</c:v>
                </c:pt>
                <c:pt idx="15">
                  <c:v>P1025-L</c:v>
                </c:pt>
                <c:pt idx="16">
                  <c:v>P1025-G</c:v>
                </c:pt>
                <c:pt idx="17">
                  <c:v>P1500-G</c:v>
                </c:pt>
              </c:strCache>
            </c:strRef>
          </c:cat>
          <c:val>
            <c:numRef>
              <c:f>MATRIX!$E$2:$E$19</c:f>
              <c:numCache>
                <c:formatCode>0.0\ "kN"</c:formatCode>
                <c:ptCount val="18"/>
                <c:pt idx="0">
                  <c:v>4.4000000000000004</c:v>
                </c:pt>
                <c:pt idx="1">
                  <c:v>5.7</c:v>
                </c:pt>
                <c:pt idx="2">
                  <c:v>5.7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30</c:v>
                </c:pt>
                <c:pt idx="11">
                  <c:v>22</c:v>
                </c:pt>
                <c:pt idx="12">
                  <c:v>30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60</c:v>
                </c:pt>
                <c:pt idx="1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1-4E06-8BC4-A4F23943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046208"/>
        <c:axId val="1359048128"/>
      </c:barChart>
      <c:catAx>
        <c:axId val="13590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048128"/>
        <c:crosses val="autoZero"/>
        <c:auto val="1"/>
        <c:lblAlgn val="ctr"/>
        <c:lblOffset val="100"/>
        <c:noMultiLvlLbl val="0"/>
      </c:catAx>
      <c:valAx>
        <c:axId val="13590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&quot;kN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0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Python-Drive Shaft</a:t>
            </a:r>
            <a:r>
              <a:rPr lang="en-US" sz="2400" b="1" baseline="0"/>
              <a:t> Diameter Compatability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1767279090115"/>
          <c:y val="0.17586531859610388"/>
          <c:w val="0.84246497408045606"/>
          <c:h val="0.650480734179060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CHARTS!$X$85</c:f>
              <c:strCache>
                <c:ptCount val="1"/>
                <c:pt idx="0">
                  <c:v>Min Propeller Shaft dia (mm)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CHARTS!$W$86:$W$103</c:f>
              <c:strCache>
                <c:ptCount val="18"/>
                <c:pt idx="0">
                  <c:v>P30-R</c:v>
                </c:pt>
                <c:pt idx="1">
                  <c:v>P60-B</c:v>
                </c:pt>
                <c:pt idx="2">
                  <c:v>P60-K</c:v>
                </c:pt>
                <c:pt idx="3">
                  <c:v>P80-M</c:v>
                </c:pt>
                <c:pt idx="4">
                  <c:v>P80-S</c:v>
                </c:pt>
                <c:pt idx="5">
                  <c:v>P110-S</c:v>
                </c:pt>
                <c:pt idx="6">
                  <c:v>P110-T</c:v>
                </c:pt>
                <c:pt idx="7">
                  <c:v>P140-T</c:v>
                </c:pt>
                <c:pt idx="8">
                  <c:v>P200-T</c:v>
                </c:pt>
                <c:pt idx="9">
                  <c:v>P200-Q</c:v>
                </c:pt>
                <c:pt idx="10">
                  <c:v>P200-W</c:v>
                </c:pt>
                <c:pt idx="11">
                  <c:v>P501-Q</c:v>
                </c:pt>
                <c:pt idx="12">
                  <c:v>P501-W</c:v>
                </c:pt>
                <c:pt idx="13">
                  <c:v>P501-L</c:v>
                </c:pt>
                <c:pt idx="14">
                  <c:v>P755-L</c:v>
                </c:pt>
                <c:pt idx="15">
                  <c:v>P1025-L</c:v>
                </c:pt>
                <c:pt idx="16">
                  <c:v>P1025-G</c:v>
                </c:pt>
                <c:pt idx="17">
                  <c:v>P1500-G</c:v>
                </c:pt>
              </c:strCache>
            </c:strRef>
          </c:cat>
          <c:val>
            <c:numRef>
              <c:f>CHARTS!$X$86:$X$103</c:f>
              <c:numCache>
                <c:formatCode>0\ "mm"</c:formatCode>
                <c:ptCount val="18"/>
                <c:pt idx="0">
                  <c:v>19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AE-4C3F-93BD-5ED9CD2678F9}"/>
            </c:ext>
          </c:extLst>
        </c:ser>
        <c:ser>
          <c:idx val="1"/>
          <c:order val="1"/>
          <c:tx>
            <c:strRef>
              <c:f>CHARTS!$Z$85</c:f>
              <c:strCache>
                <c:ptCount val="1"/>
                <c:pt idx="0">
                  <c:v>Max Propeller Shaft dia (mm)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CHARTS!$Z$86:$Z$103</c:f>
              <c:numCache>
                <c:formatCode>0\ "mm"</c:formatCode>
                <c:ptCount val="18"/>
                <c:pt idx="0">
                  <c:v>11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  <c:pt idx="13">
                  <c:v>30</c:v>
                </c:pt>
                <c:pt idx="14">
                  <c:v>10</c:v>
                </c:pt>
                <c:pt idx="15">
                  <c:v>10</c:v>
                </c:pt>
                <c:pt idx="16">
                  <c:v>30</c:v>
                </c:pt>
                <c:pt idx="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AE-4C3F-93BD-5ED9CD26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9046208"/>
        <c:axId val="1359048128"/>
      </c:barChart>
      <c:catAx>
        <c:axId val="13590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048128"/>
        <c:crosses val="autoZero"/>
        <c:auto val="1"/>
        <c:lblAlgn val="ctr"/>
        <c:lblOffset val="100"/>
        <c:noMultiLvlLbl val="0"/>
      </c:catAx>
      <c:valAx>
        <c:axId val="1359048128"/>
        <c:scaling>
          <c:orientation val="minMax"/>
          <c:max val="11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m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0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AD12D0-C44D-5F97-4400-89807651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17</xdr:col>
      <xdr:colOff>0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C96710-7A1A-4CB4-9377-23BB232FF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55</xdr:row>
      <xdr:rowOff>0</xdr:rowOff>
    </xdr:from>
    <xdr:to>
      <xdr:col>17</xdr:col>
      <xdr:colOff>0</xdr:colOff>
      <xdr:row>81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D39318-28AD-4342-B278-349CB6E2E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558052</xdr:colOff>
      <xdr:row>75</xdr:row>
      <xdr:rowOff>13793</xdr:rowOff>
    </xdr:from>
    <xdr:ext cx="717177" cy="21839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678D3F8-4D04-7D61-B3A6-69422617CE85}"/>
            </a:ext>
          </a:extLst>
        </xdr:cNvPr>
        <xdr:cNvSpPr/>
      </xdr:nvSpPr>
      <xdr:spPr>
        <a:xfrm>
          <a:off x="1548652" y="13729793"/>
          <a:ext cx="717177" cy="218392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19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564776</xdr:colOff>
      <xdr:row>74</xdr:row>
      <xdr:rowOff>18377</xdr:rowOff>
    </xdr:from>
    <xdr:ext cx="717177" cy="21839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753D213-CCAB-43A9-919D-97A3DC83BE22}"/>
            </a:ext>
          </a:extLst>
        </xdr:cNvPr>
        <xdr:cNvSpPr/>
      </xdr:nvSpPr>
      <xdr:spPr>
        <a:xfrm>
          <a:off x="2164976" y="13551497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25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</xdr:col>
      <xdr:colOff>420893</xdr:colOff>
      <xdr:row>73</xdr:row>
      <xdr:rowOff>61408</xdr:rowOff>
    </xdr:from>
    <xdr:ext cx="717177" cy="218392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E0DF855-4497-44CD-A735-FA95206689E1}"/>
            </a:ext>
          </a:extLst>
        </xdr:cNvPr>
        <xdr:cNvSpPr/>
      </xdr:nvSpPr>
      <xdr:spPr>
        <a:xfrm>
          <a:off x="3240293" y="13411648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30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124609</xdr:colOff>
      <xdr:row>72</xdr:row>
      <xdr:rowOff>129092</xdr:rowOff>
    </xdr:from>
    <xdr:ext cx="717177" cy="21839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1BB30F4-0B86-4338-9744-B2302AE881EA}"/>
            </a:ext>
          </a:extLst>
        </xdr:cNvPr>
        <xdr:cNvSpPr/>
      </xdr:nvSpPr>
      <xdr:spPr>
        <a:xfrm>
          <a:off x="4163209" y="13296452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35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277457</xdr:colOff>
      <xdr:row>71</xdr:row>
      <xdr:rowOff>106231</xdr:rowOff>
    </xdr:from>
    <xdr:ext cx="717177" cy="21839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EF1CB1B-61B7-4090-A33F-8DCA91D585F9}"/>
            </a:ext>
          </a:extLst>
        </xdr:cNvPr>
        <xdr:cNvSpPr/>
      </xdr:nvSpPr>
      <xdr:spPr>
        <a:xfrm>
          <a:off x="4925657" y="13090711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40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11</xdr:col>
      <xdr:colOff>530262</xdr:colOff>
      <xdr:row>69</xdr:row>
      <xdr:rowOff>181535</xdr:rowOff>
    </xdr:from>
    <xdr:ext cx="717177" cy="218392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FF6C023-62FE-4798-84A0-62A557CD6627}"/>
            </a:ext>
          </a:extLst>
        </xdr:cNvPr>
        <xdr:cNvSpPr/>
      </xdr:nvSpPr>
      <xdr:spPr>
        <a:xfrm>
          <a:off x="6397662" y="12800255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50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14</xdr:col>
      <xdr:colOff>141193</xdr:colOff>
      <xdr:row>66</xdr:row>
      <xdr:rowOff>95473</xdr:rowOff>
    </xdr:from>
    <xdr:ext cx="717177" cy="218392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72C7EA-FE4D-4F62-945F-11220355B489}"/>
            </a:ext>
          </a:extLst>
        </xdr:cNvPr>
        <xdr:cNvSpPr/>
      </xdr:nvSpPr>
      <xdr:spPr>
        <a:xfrm>
          <a:off x="7837393" y="12165553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70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15</xdr:col>
      <xdr:colOff>599291</xdr:colOff>
      <xdr:row>64</xdr:row>
      <xdr:rowOff>179295</xdr:rowOff>
    </xdr:from>
    <xdr:ext cx="457200" cy="313764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71760937-38C9-4D63-9CF0-C19D4ED1A6B7}"/>
            </a:ext>
          </a:extLst>
        </xdr:cNvPr>
        <xdr:cNvSpPr/>
      </xdr:nvSpPr>
      <xdr:spPr>
        <a:xfrm>
          <a:off x="8905091" y="11883615"/>
          <a:ext cx="457200" cy="313764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80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13</xdr:col>
      <xdr:colOff>188259</xdr:colOff>
      <xdr:row>63</xdr:row>
      <xdr:rowOff>0</xdr:rowOff>
    </xdr:from>
    <xdr:ext cx="717177" cy="218392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070F976-905C-4001-A5B2-1F1F16C641EE}"/>
            </a:ext>
          </a:extLst>
        </xdr:cNvPr>
        <xdr:cNvSpPr/>
      </xdr:nvSpPr>
      <xdr:spPr>
        <a:xfrm>
          <a:off x="7270377" y="12559553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80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4032</xdr:colOff>
      <xdr:row>70</xdr:row>
      <xdr:rowOff>127747</xdr:rowOff>
    </xdr:from>
    <xdr:ext cx="484095" cy="385482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E5D224A-A3AF-4DC9-9C80-876D99A51CCB}"/>
            </a:ext>
          </a:extLst>
        </xdr:cNvPr>
        <xdr:cNvSpPr/>
      </xdr:nvSpPr>
      <xdr:spPr>
        <a:xfrm>
          <a:off x="1604232" y="12929347"/>
          <a:ext cx="484095" cy="38548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 baseline="0">
              <a:solidFill>
                <a:sysClr val="windowText" lastClr="000000"/>
              </a:solidFill>
            </a:rPr>
            <a:t>30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508747</xdr:colOff>
      <xdr:row>69</xdr:row>
      <xdr:rowOff>143436</xdr:rowOff>
    </xdr:from>
    <xdr:ext cx="717177" cy="218392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B29D7D7A-718B-425D-86F0-364C472D9F26}"/>
            </a:ext>
          </a:extLst>
        </xdr:cNvPr>
        <xdr:cNvSpPr/>
      </xdr:nvSpPr>
      <xdr:spPr>
        <a:xfrm>
          <a:off x="2108947" y="12762156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40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</xdr:col>
      <xdr:colOff>428960</xdr:colOff>
      <xdr:row>69</xdr:row>
      <xdr:rowOff>2241</xdr:rowOff>
    </xdr:from>
    <xdr:ext cx="717177" cy="218392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38C50009-D0A9-4CBE-A500-B531B3818770}"/>
            </a:ext>
          </a:extLst>
        </xdr:cNvPr>
        <xdr:cNvSpPr/>
      </xdr:nvSpPr>
      <xdr:spPr>
        <a:xfrm>
          <a:off x="3248360" y="12620961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45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537881</xdr:colOff>
      <xdr:row>68</xdr:row>
      <xdr:rowOff>22860</xdr:rowOff>
    </xdr:from>
    <xdr:ext cx="717177" cy="218392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101D6D6-A1E3-4C53-A75F-91B388C59F7E}"/>
            </a:ext>
          </a:extLst>
        </xdr:cNvPr>
        <xdr:cNvSpPr/>
      </xdr:nvSpPr>
      <xdr:spPr>
        <a:xfrm>
          <a:off x="3966881" y="12458700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50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391758</xdr:colOff>
      <xdr:row>67</xdr:row>
      <xdr:rowOff>30480</xdr:rowOff>
    </xdr:from>
    <xdr:ext cx="717177" cy="218392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E53796D1-4BD5-4B3A-860B-664C7279453C}"/>
            </a:ext>
          </a:extLst>
        </xdr:cNvPr>
        <xdr:cNvSpPr/>
      </xdr:nvSpPr>
      <xdr:spPr>
        <a:xfrm>
          <a:off x="4430358" y="12283440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55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279698</xdr:colOff>
      <xdr:row>66</xdr:row>
      <xdr:rowOff>94129</xdr:rowOff>
    </xdr:from>
    <xdr:ext cx="717177" cy="218392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BC678344-D1D5-4EB9-A0D1-87435A7A6191}"/>
            </a:ext>
          </a:extLst>
        </xdr:cNvPr>
        <xdr:cNvSpPr/>
      </xdr:nvSpPr>
      <xdr:spPr>
        <a:xfrm>
          <a:off x="5537498" y="12164209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60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15</xdr:col>
      <xdr:colOff>294490</xdr:colOff>
      <xdr:row>59</xdr:row>
      <xdr:rowOff>147917</xdr:rowOff>
    </xdr:from>
    <xdr:ext cx="717177" cy="218392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F687D246-1705-4CF5-816E-69D93A552DC0}"/>
            </a:ext>
          </a:extLst>
        </xdr:cNvPr>
        <xdr:cNvSpPr/>
      </xdr:nvSpPr>
      <xdr:spPr>
        <a:xfrm>
          <a:off x="8600290" y="10937837"/>
          <a:ext cx="717177" cy="218392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noAutofit/>
        </a:bodyPr>
        <a:lstStyle/>
        <a:p>
          <a:pPr algn="ctr"/>
          <a:r>
            <a:rPr lang="en-GB" sz="1200" b="1">
              <a:solidFill>
                <a:sysClr val="windowText" lastClr="000000"/>
              </a:solidFill>
            </a:rPr>
            <a:t>100</a:t>
          </a:r>
          <a:r>
            <a:rPr lang="en-GB" sz="1200" b="1" baseline="0">
              <a:solidFill>
                <a:sysClr val="windowText" lastClr="000000"/>
              </a:solidFill>
            </a:rPr>
            <a:t> mm</a:t>
          </a:r>
          <a:endParaRPr lang="en-GB" sz="12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29DB8-16F4-4B5A-8F38-2875A0F292B7}" name="Table1" displayName="Table1" ref="A1:N19" totalsRowShown="0" headerRowDxfId="16" dataDxfId="15" tableBorderDxfId="14">
  <autoFilter ref="A1:N19" xr:uid="{21529DB8-16F4-4B5A-8F38-2875A0F292B7}"/>
  <tableColumns count="14">
    <tableColumn id="1" xr3:uid="{0374E224-4437-438A-A218-A46889C9E83F}" name="Model no." dataDxfId="13"/>
    <tableColumn id="2" xr3:uid="{36E13653-3A7A-4AA8-8D6A-B6987DDBE834}" name="Max Shaft Torque_x000a_kgm" dataDxfId="12"/>
    <tableColumn id="3" xr3:uid="{878F57AA-A92D-45D8-9E47-9CA6FFCC203E}" name="Max Shaft Torque_x000a_Nm" dataDxfId="11"/>
    <tableColumn id="4" xr3:uid="{C8CCD843-7818-465F-BA4B-E60CE3C5EC5C}" name="Propeller Shaft dia (mm)" dataDxfId="10"/>
    <tableColumn id="5" xr3:uid="{CD856775-2B4B-4D42-8F71-668C4A11F61C}" name="Max Prop Thrust (kN)" dataDxfId="9"/>
    <tableColumn id="6" xr3:uid="{4A1A6DE4-70A0-4C39-8F68-E679FE1E665D}" name="Example Application" dataDxfId="8"/>
    <tableColumn id="7" xr3:uid="{3F4E864C-9F7A-4B69-ABFA-F2C9A6A71C3F}" name="CV Drive Shaft Standard Lengths" dataDxfId="7"/>
    <tableColumn id="8" xr3:uid="{ABDA73FF-171F-431E-AEE4-BB07907C11D5}" name="Maximum  Shaft Speed" dataDxfId="6"/>
    <tableColumn id="12" xr3:uid="{FAA37090-070C-4B50-82A3-E9B34DDB0BA9}" name="Planing hull Thrust" dataDxfId="5">
      <calculatedColumnFormula>IF(PlaningThrust&lt;=Table1[[#This Row],[Max Prop Thrust (kN)]],"OK","NOK")</calculatedColumnFormula>
    </tableColumn>
    <tableColumn id="13" xr3:uid="{6C20D918-662D-45E5-99D4-235448C936E0}" name="Semi Disp. Hull Thrust" dataDxfId="4">
      <calculatedColumnFormula>IF(SemiDispThrust&lt;=Table1[[#This Row],[Max Prop Thrust (kN)]],"OK","NOK")</calculatedColumnFormula>
    </tableColumn>
    <tableColumn id="14" xr3:uid="{8F6CBDAD-1CD6-46F9-AC28-A98B0C728F12}" name="Disp.Hull Thrust" dataDxfId="3">
      <calculatedColumnFormula>IF(DispThrust&lt;=Table1[[#This Row],[Max Prop Thrust (kN)]],"OK","NOK")</calculatedColumnFormula>
    </tableColumn>
    <tableColumn id="9" xr3:uid="{54CB5F6C-49DB-437B-BD25-C2E46B179A7F}" name="Pleasure Boat Shaft Torque" dataDxfId="2">
      <calculatedColumnFormula>IF(PleasureBoat&lt;=Table1[[#This Row],[Max Shaft Torque
kgm]],"OK","NOK")</calculatedColumnFormula>
    </tableColumn>
    <tableColumn id="10" xr3:uid="{D3C13DF0-408D-4A21-91A4-950AB1F7FE3A}" name="Light Comm. Shaft Torque" dataDxfId="1">
      <calculatedColumnFormula>IF(LightCommercial&lt;=Table1[[#This Row],[Max Shaft Torque
kgm]],"OK","NOK")</calculatedColumnFormula>
    </tableColumn>
    <tableColumn id="11" xr3:uid="{F690C18E-F1D7-46F8-AF8C-27E429E7BDD3}" name="Heavy Comm. Shaft Torque" dataDxfId="0">
      <calculatedColumnFormula>IF(HeavyCommercial&lt;=Table1[[#This Row],[Max Shaft Torque
kgm]],"OK","NOK")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8"/>
  <sheetViews>
    <sheetView showGridLines="0" tabSelected="1" workbookViewId="0">
      <pane ySplit="2" topLeftCell="A3" activePane="bottomLeft" state="frozen"/>
      <selection pane="bottomLeft" activeCell="B5" sqref="B5"/>
    </sheetView>
  </sheetViews>
  <sheetFormatPr defaultRowHeight="14.4"/>
  <cols>
    <col min="1" max="1" width="31.88671875" customWidth="1"/>
    <col min="2" max="4" width="15.77734375" customWidth="1"/>
    <col min="5" max="5" width="20.77734375" customWidth="1"/>
    <col min="7" max="7" width="15.6640625" style="58" hidden="1" customWidth="1"/>
    <col min="8" max="8" width="20.77734375" customWidth="1"/>
  </cols>
  <sheetData>
    <row r="1" spans="1:19" s="28" customFormat="1" ht="30" customHeight="1">
      <c r="A1" s="1" t="s">
        <v>11</v>
      </c>
      <c r="B1" s="2"/>
      <c r="C1" s="2"/>
      <c r="D1" s="2"/>
      <c r="E1" s="3"/>
      <c r="G1" s="72"/>
      <c r="J1" s="23"/>
      <c r="K1" s="23"/>
    </row>
    <row r="2" spans="1:19" s="29" customFormat="1" ht="25.95" customHeight="1">
      <c r="A2" s="90" t="s">
        <v>23</v>
      </c>
      <c r="B2" s="91"/>
      <c r="C2" s="91"/>
      <c r="D2" s="91"/>
      <c r="E2" s="92"/>
      <c r="G2" s="73" t="s">
        <v>90</v>
      </c>
      <c r="J2" s="30"/>
      <c r="K2" s="30"/>
      <c r="L2" s="31"/>
      <c r="M2" s="31"/>
      <c r="N2" s="31"/>
      <c r="O2" s="31"/>
      <c r="P2" s="31"/>
      <c r="Q2" s="31"/>
      <c r="R2" s="31"/>
      <c r="S2" s="31"/>
    </row>
    <row r="3" spans="1:19" s="8" customFormat="1" ht="18" customHeight="1">
      <c r="A3" s="4" t="s">
        <v>12</v>
      </c>
      <c r="B3" s="5"/>
      <c r="C3" s="5"/>
      <c r="D3" s="5"/>
      <c r="E3" s="6"/>
      <c r="G3" s="66"/>
      <c r="J3" s="23"/>
      <c r="K3" s="23"/>
      <c r="L3" s="28"/>
      <c r="M3" s="28"/>
      <c r="N3" s="28"/>
      <c r="O3" s="28"/>
      <c r="P3" s="28"/>
      <c r="Q3" s="28"/>
      <c r="R3" s="28"/>
      <c r="S3" s="28"/>
    </row>
    <row r="4" spans="1:19" s="8" customFormat="1" ht="15" customHeight="1">
      <c r="A4" s="7"/>
      <c r="B4" s="67" t="str">
        <f>IFERROR(IF(AND(MHP&lt;&gt;"", MKW&lt;&gt;""), "ENTER HP or KW", IF(MATCH("NOK",G5:G9,0)&gt;0,"ENTER DATA")),"DATA ENTERED")</f>
        <v>ENTER DATA</v>
      </c>
      <c r="E4" s="9"/>
      <c r="G4" s="66" t="s">
        <v>125</v>
      </c>
      <c r="J4" s="23"/>
      <c r="K4" s="23"/>
      <c r="L4" s="28"/>
      <c r="M4" s="28"/>
      <c r="N4" s="28"/>
      <c r="O4" s="28"/>
      <c r="P4" s="28"/>
      <c r="Q4" s="28"/>
      <c r="R4" s="28"/>
      <c r="S4" s="28"/>
    </row>
    <row r="5" spans="1:19" s="8" customFormat="1" ht="15" customHeight="1">
      <c r="A5" s="10" t="s">
        <v>0</v>
      </c>
      <c r="B5" s="36"/>
      <c r="C5" s="8" t="s">
        <v>7</v>
      </c>
      <c r="D5" s="32" t="str">
        <f>IF(LEN(MHP)&gt;0,MHP/1.36,"-")</f>
        <v>-</v>
      </c>
      <c r="E5" s="9" t="s">
        <v>10</v>
      </c>
      <c r="G5" s="66" t="str">
        <f>IF(OR(MHP&lt;&gt;"",MKW&lt;&gt;"")=TRUE,"OK","NOK")</f>
        <v>NOK</v>
      </c>
      <c r="J5" s="23"/>
      <c r="K5" s="23"/>
      <c r="L5" s="28"/>
      <c r="M5" s="28"/>
      <c r="N5" s="28"/>
      <c r="O5" s="28"/>
      <c r="P5" s="28"/>
      <c r="Q5" s="28"/>
      <c r="R5" s="28"/>
      <c r="S5" s="28"/>
    </row>
    <row r="6" spans="1:19" s="8" customFormat="1" ht="15" customHeight="1">
      <c r="A6" s="10" t="s">
        <v>102</v>
      </c>
      <c r="B6" s="36"/>
      <c r="C6" s="8" t="s">
        <v>103</v>
      </c>
      <c r="D6" s="32" t="str">
        <f>IF(LEN(MKW)&gt;0,MKW*1.36,"-")</f>
        <v>-</v>
      </c>
      <c r="E6" s="9" t="s">
        <v>7</v>
      </c>
      <c r="G6" s="66" t="str">
        <f>IF(OR(MHP&lt;&gt;"",MKW&lt;&gt;"")=TRUE,"OK","NOK")</f>
        <v>NOK</v>
      </c>
      <c r="J6" s="23"/>
      <c r="K6" s="23"/>
      <c r="L6" s="28"/>
      <c r="M6" s="28"/>
      <c r="N6" s="28"/>
      <c r="O6" s="28"/>
      <c r="P6" s="28"/>
      <c r="Q6" s="28"/>
      <c r="R6" s="28"/>
      <c r="S6" s="28"/>
    </row>
    <row r="7" spans="1:19" s="8" customFormat="1" ht="15" customHeight="1">
      <c r="A7" s="10" t="s">
        <v>9</v>
      </c>
      <c r="B7" s="36"/>
      <c r="C7" s="8" t="s">
        <v>8</v>
      </c>
      <c r="E7" s="9"/>
      <c r="G7" s="66" t="str">
        <f>IF(LEN(B7)&gt;0,"OK","NOK")</f>
        <v>NOK</v>
      </c>
      <c r="J7" s="23"/>
      <c r="K7" s="23"/>
      <c r="L7" s="28"/>
      <c r="M7" s="28"/>
      <c r="N7" s="28"/>
      <c r="O7" s="28"/>
      <c r="P7" s="28"/>
      <c r="Q7" s="28"/>
      <c r="R7" s="28"/>
      <c r="S7" s="28"/>
    </row>
    <row r="8" spans="1:19" s="8" customFormat="1" ht="15" customHeight="1">
      <c r="A8" s="10" t="s">
        <v>104</v>
      </c>
      <c r="B8" s="37"/>
      <c r="C8" s="8" t="s">
        <v>4</v>
      </c>
      <c r="E8" s="9"/>
      <c r="G8" s="66" t="str">
        <f>IF(LEN(B8)&gt;0,"OK","NOK")</f>
        <v>NOK</v>
      </c>
      <c r="J8" s="23"/>
      <c r="K8" s="23"/>
      <c r="L8" s="28"/>
      <c r="M8" s="28"/>
      <c r="N8" s="28"/>
      <c r="O8" s="28"/>
      <c r="P8" s="28"/>
      <c r="Q8" s="28"/>
      <c r="R8" s="28"/>
      <c r="S8" s="28"/>
    </row>
    <row r="9" spans="1:19" s="8" customFormat="1" ht="15" customHeight="1">
      <c r="A9" s="10" t="s">
        <v>105</v>
      </c>
      <c r="B9" s="63">
        <v>0.95</v>
      </c>
      <c r="E9" s="9"/>
      <c r="G9" s="66" t="str">
        <f>IF(LEN(B9)&gt;0,"OK","NOK")</f>
        <v>OK</v>
      </c>
      <c r="J9" s="23"/>
      <c r="K9" s="23"/>
      <c r="L9" s="28"/>
      <c r="M9" s="28"/>
      <c r="N9" s="28"/>
      <c r="O9" s="28"/>
      <c r="P9" s="28"/>
      <c r="Q9" s="28"/>
      <c r="R9" s="28"/>
      <c r="S9" s="28"/>
    </row>
    <row r="10" spans="1:19" s="8" customFormat="1" ht="15" customHeight="1">
      <c r="A10" s="11"/>
      <c r="B10" s="33"/>
      <c r="C10" s="33"/>
      <c r="D10" s="33"/>
      <c r="E10" s="34"/>
      <c r="G10" s="66"/>
      <c r="J10" s="23"/>
      <c r="K10" s="23"/>
      <c r="L10" s="28"/>
      <c r="M10" s="28"/>
      <c r="N10" s="28"/>
      <c r="O10" s="28"/>
      <c r="P10" s="28"/>
      <c r="Q10" s="28"/>
      <c r="R10" s="28"/>
      <c r="S10" s="28"/>
    </row>
    <row r="11" spans="1:19" s="8" customFormat="1" ht="18" customHeight="1">
      <c r="A11" s="4" t="s">
        <v>13</v>
      </c>
      <c r="B11" s="5"/>
      <c r="C11" s="5"/>
      <c r="D11" s="5"/>
      <c r="E11" s="6"/>
      <c r="G11" s="66"/>
      <c r="J11" s="23"/>
      <c r="K11" s="23"/>
      <c r="L11" s="28"/>
      <c r="M11" s="28"/>
      <c r="N11" s="28"/>
      <c r="O11" s="28"/>
      <c r="P11" s="28"/>
      <c r="Q11" s="28"/>
      <c r="R11" s="28"/>
      <c r="S11" s="28"/>
    </row>
    <row r="12" spans="1:19" ht="15" customHeight="1">
      <c r="A12" s="12"/>
      <c r="C12" s="8"/>
      <c r="E12" s="21"/>
      <c r="G12" s="64"/>
      <c r="J12" s="23"/>
      <c r="K12" s="23"/>
      <c r="L12" s="35"/>
      <c r="M12" s="35"/>
      <c r="N12" s="35"/>
      <c r="O12" s="35"/>
      <c r="P12" s="35"/>
      <c r="Q12" s="35"/>
      <c r="R12" s="35"/>
      <c r="S12" s="35"/>
    </row>
    <row r="13" spans="1:19" ht="15" customHeight="1">
      <c r="A13" s="13" t="s">
        <v>19</v>
      </c>
      <c r="B13" s="74" t="str">
        <f>IFERROR(IF(AND(MHP&lt;&gt;"", MKW&lt;&gt;""), "ERROR", IF(MHP&lt;&gt;"",GBE*(MHP/RPM)*726,GBE*(MKW/RPM)*974)),"-")</f>
        <v>-</v>
      </c>
      <c r="C13" t="s">
        <v>5</v>
      </c>
      <c r="D13" s="75" t="str">
        <f>IFERROR(B13*9.68,"-")</f>
        <v>-</v>
      </c>
      <c r="E13" s="21" t="s">
        <v>6</v>
      </c>
      <c r="G13" s="64"/>
      <c r="J13" s="23"/>
      <c r="K13" s="23"/>
      <c r="L13" s="35"/>
      <c r="M13" s="35"/>
      <c r="N13" s="35"/>
      <c r="O13" s="35"/>
      <c r="P13" s="35"/>
      <c r="Q13" s="35"/>
      <c r="R13" s="35"/>
      <c r="S13" s="35"/>
    </row>
    <row r="14" spans="1:19" ht="15" customHeight="1">
      <c r="A14" s="13" t="s">
        <v>20</v>
      </c>
      <c r="B14" s="74" t="str">
        <f>IFERROR(B13*B8,"-")</f>
        <v>-</v>
      </c>
      <c r="C14" t="s">
        <v>5</v>
      </c>
      <c r="D14" s="75" t="str">
        <f>IFERROR(D13*B8,"-")</f>
        <v>-</v>
      </c>
      <c r="E14" s="21" t="s">
        <v>6</v>
      </c>
      <c r="G14" s="64"/>
      <c r="J14" s="23"/>
      <c r="K14" s="23"/>
    </row>
    <row r="15" spans="1:19" ht="15" customHeight="1">
      <c r="A15" s="14"/>
      <c r="B15" s="17"/>
      <c r="C15" s="17"/>
      <c r="D15" s="17"/>
      <c r="E15" s="18"/>
      <c r="G15" s="64"/>
      <c r="J15" s="23"/>
      <c r="K15" s="23"/>
    </row>
    <row r="16" spans="1:19" ht="15" customHeight="1">
      <c r="A16" s="15" t="s">
        <v>14</v>
      </c>
      <c r="B16" s="19"/>
      <c r="C16" s="19"/>
      <c r="D16" s="19"/>
      <c r="E16" s="20"/>
      <c r="G16" s="64"/>
      <c r="J16" s="23"/>
      <c r="K16" s="23"/>
    </row>
    <row r="17" spans="1:11" ht="28.8">
      <c r="A17" s="10" t="s">
        <v>17</v>
      </c>
      <c r="B17" s="26" t="s">
        <v>15</v>
      </c>
      <c r="C17" s="26" t="s">
        <v>16</v>
      </c>
      <c r="E17" s="21"/>
      <c r="G17" s="64" t="s">
        <v>124</v>
      </c>
      <c r="J17" s="23"/>
      <c r="K17" s="23"/>
    </row>
    <row r="18" spans="1:11" ht="15" customHeight="1">
      <c r="A18" s="13" t="s">
        <v>1</v>
      </c>
      <c r="B18" s="75">
        <f>IFERROR(C18/0.0102,"-")</f>
        <v>0</v>
      </c>
      <c r="C18" s="74">
        <f>IFERROR(IF(MET="ERROR","-",IF(MHP&lt;&gt;"",MHP,MKW*1.36)*$G18),"-")</f>
        <v>0</v>
      </c>
      <c r="E18" s="21"/>
      <c r="G18" s="71">
        <v>5.5E-2</v>
      </c>
      <c r="J18" s="23"/>
      <c r="K18" s="23"/>
    </row>
    <row r="19" spans="1:11" ht="15" customHeight="1">
      <c r="A19" s="13" t="s">
        <v>2</v>
      </c>
      <c r="B19" s="75">
        <f>IFERROR(C19/0.0102,"-")</f>
        <v>0</v>
      </c>
      <c r="C19" s="74">
        <f>IFERROR(IF(MET="ERROR","-",IF(MHP&lt;&gt;"",MHP,MKW*1.36)*$G19),"-")</f>
        <v>0</v>
      </c>
      <c r="E19" s="21"/>
      <c r="G19" s="71">
        <v>7.4999999999999997E-2</v>
      </c>
      <c r="J19" s="23"/>
      <c r="K19" s="23"/>
    </row>
    <row r="20" spans="1:11" ht="15" customHeight="1">
      <c r="A20" s="13" t="s">
        <v>3</v>
      </c>
      <c r="B20" s="75">
        <f>IFERROR(C20/0.0102,"-")</f>
        <v>0</v>
      </c>
      <c r="C20" s="74">
        <f>IFERROR(IF(MET="ERROR","-",IF(MHP&lt;&gt;"",MHP,MKW*1.36)*$G20),"-")</f>
        <v>0</v>
      </c>
      <c r="E20" s="21"/>
      <c r="G20" s="71">
        <v>0.09</v>
      </c>
      <c r="J20" s="23"/>
      <c r="K20" s="23"/>
    </row>
    <row r="21" spans="1:11" ht="15" customHeight="1">
      <c r="A21" s="16"/>
      <c r="E21" s="21"/>
      <c r="G21" s="64"/>
      <c r="J21" s="23"/>
      <c r="K21" s="23"/>
    </row>
    <row r="22" spans="1:11" s="8" customFormat="1" ht="30" customHeight="1">
      <c r="A22" s="93" t="s">
        <v>22</v>
      </c>
      <c r="B22" s="94"/>
      <c r="C22" s="94"/>
      <c r="D22" s="94"/>
      <c r="E22" s="95"/>
      <c r="G22" s="66"/>
      <c r="J22" s="23"/>
      <c r="K22" s="23"/>
    </row>
    <row r="23" spans="1:11" ht="15" customHeight="1">
      <c r="A23" s="22" t="s">
        <v>87</v>
      </c>
      <c r="B23" s="19"/>
      <c r="C23" s="19"/>
      <c r="D23" s="19"/>
      <c r="E23" s="20"/>
      <c r="G23" s="64"/>
      <c r="J23" s="23"/>
      <c r="K23" s="23"/>
    </row>
    <row r="24" spans="1:11" ht="15" customHeight="1">
      <c r="A24" s="24"/>
      <c r="E24" s="21"/>
      <c r="G24" s="64"/>
      <c r="J24" s="23"/>
      <c r="K24" s="23"/>
    </row>
    <row r="25" spans="1:11" ht="28.8">
      <c r="A25" s="25" t="s">
        <v>25</v>
      </c>
      <c r="B25" s="26" t="s">
        <v>29</v>
      </c>
      <c r="E25" s="21"/>
      <c r="G25" s="64"/>
      <c r="J25" s="23"/>
      <c r="K25" s="23"/>
    </row>
    <row r="26" spans="1:11" ht="15" customHeight="1">
      <c r="A26" s="25" t="s">
        <v>32</v>
      </c>
      <c r="B26" s="76" t="str">
        <f>IFERROR(ROUND(B14,1),"-")</f>
        <v>-</v>
      </c>
      <c r="C26" s="68" t="s">
        <v>31</v>
      </c>
      <c r="E26" s="21"/>
      <c r="G26" s="64"/>
      <c r="J26" s="23"/>
      <c r="K26" s="23"/>
    </row>
    <row r="27" spans="1:11" ht="15" customHeight="1">
      <c r="A27" s="25" t="s">
        <v>27</v>
      </c>
      <c r="B27" s="76" t="str">
        <f>IFERROR(ROUND(B14*1.4,1),"-")</f>
        <v>-</v>
      </c>
      <c r="C27" s="68" t="s">
        <v>101</v>
      </c>
      <c r="E27" s="21"/>
      <c r="G27" s="64"/>
      <c r="J27" s="23"/>
      <c r="K27" s="23"/>
    </row>
    <row r="28" spans="1:11" ht="15" customHeight="1">
      <c r="A28" s="25" t="s">
        <v>28</v>
      </c>
      <c r="B28" s="76" t="s">
        <v>21</v>
      </c>
      <c r="C28" s="69" t="s">
        <v>30</v>
      </c>
      <c r="E28" s="21"/>
      <c r="G28" s="64"/>
      <c r="J28" s="23"/>
      <c r="K28" s="23"/>
    </row>
    <row r="29" spans="1:11" ht="15" customHeight="1">
      <c r="A29" s="24"/>
      <c r="B29" s="68"/>
      <c r="C29" s="69"/>
      <c r="E29" s="21"/>
      <c r="G29" s="64"/>
      <c r="J29" s="23"/>
      <c r="K29" s="23"/>
    </row>
    <row r="30" spans="1:11" ht="15" customHeight="1">
      <c r="A30" s="24" t="s">
        <v>34</v>
      </c>
      <c r="B30" s="68"/>
      <c r="C30" s="69"/>
      <c r="E30" s="21"/>
      <c r="G30" s="64"/>
      <c r="J30" s="23"/>
      <c r="K30" s="23"/>
    </row>
    <row r="31" spans="1:11" ht="15" customHeight="1">
      <c r="A31" s="14" t="s">
        <v>33</v>
      </c>
      <c r="B31" s="17"/>
      <c r="C31" s="17"/>
      <c r="D31" s="17"/>
      <c r="E31" s="18"/>
      <c r="G31" s="64"/>
      <c r="J31" s="23"/>
      <c r="K31" s="23"/>
    </row>
    <row r="32" spans="1:11" ht="15" customHeight="1">
      <c r="A32" s="22" t="s">
        <v>24</v>
      </c>
      <c r="B32" s="19"/>
      <c r="C32" s="19"/>
      <c r="D32" s="19"/>
      <c r="E32" s="20"/>
      <c r="G32" s="64"/>
      <c r="J32" s="23"/>
      <c r="K32" s="23"/>
    </row>
    <row r="33" spans="1:11" ht="15" customHeight="1">
      <c r="A33" s="24" t="s">
        <v>18</v>
      </c>
      <c r="E33" s="21"/>
      <c r="G33" s="64"/>
      <c r="J33" s="23"/>
      <c r="K33" s="23"/>
    </row>
    <row r="34" spans="1:11" ht="15" customHeight="1">
      <c r="A34" s="16"/>
      <c r="E34" s="21"/>
      <c r="G34" s="64"/>
      <c r="J34" s="23"/>
      <c r="K34" s="23"/>
    </row>
    <row r="35" spans="1:11" ht="43.2">
      <c r="A35" s="16"/>
      <c r="B35" s="26" t="s">
        <v>110</v>
      </c>
      <c r="C35" s="26" t="s">
        <v>111</v>
      </c>
      <c r="D35" s="26" t="s">
        <v>112</v>
      </c>
      <c r="E35" s="21"/>
      <c r="G35" s="64"/>
      <c r="J35" s="23"/>
      <c r="K35" s="23"/>
    </row>
    <row r="36" spans="1:11" ht="18" customHeight="1">
      <c r="A36" s="27" t="s">
        <v>26</v>
      </c>
      <c r="B36" s="77" t="str" cm="1">
        <f t="array" ref="B36">IFERROR(IF(Status="Enter Data","-",INDEX(Table1[Model no.],MAX(MATCH("OK",Table1[Planing hull Thrust],0),MATCH("OK",Table1[Pleasure Boat Shaft Torque],0)),1)),"Consult Dealer")</f>
        <v>-</v>
      </c>
      <c r="C36" s="77" t="str" cm="1">
        <f t="array" ref="C36">IFERROR(IF(Status="Enter Data","-",INDEX(Table1[Model no.],MAX(MATCH("OK",Table1[Semi Disp. Hull Thrust],0),MATCH("OK",Table1[Pleasure Boat Shaft Torque],0)),1)),"Consult Dealer")</f>
        <v>-</v>
      </c>
      <c r="D36" s="77" t="str" cm="1">
        <f t="array" ref="D36">IFERROR(IF(Status="Enter Data","-",INDEX(Table1[Model no.],MAX(MATCH("OK",Table1[Disp.Hull Thrust],0),MATCH("OK",Table1[Pleasure Boat Shaft Torque],0)),1)),"Consult Dealer")</f>
        <v>-</v>
      </c>
      <c r="E36" s="21"/>
      <c r="G36" s="64"/>
      <c r="J36" s="23"/>
      <c r="K36" s="23"/>
    </row>
    <row r="37" spans="1:11" ht="18" customHeight="1">
      <c r="A37" s="27" t="s">
        <v>27</v>
      </c>
      <c r="B37" s="77" t="str" cm="1">
        <f t="array" ref="B37">IFERROR(IF(Status="Enter Data","-",INDEX(Table1[Model no.],MAX(MATCH("OK",Table1[Planing hull Thrust],0),MATCH("OK",Table1[Light Comm. Shaft Torque],0)),1)),"Consult Dealer")</f>
        <v>-</v>
      </c>
      <c r="C37" s="77" t="str" cm="1">
        <f t="array" ref="C37">IFERROR(IF(Status="Enter Data","-",INDEX(Table1[Model no.],MAX(MATCH("OK",Table1[Semi Disp. Hull Thrust],0),MATCH("OK",Table1[Light Comm. Shaft Torque],0)),1)),"Consult Dealer")</f>
        <v>-</v>
      </c>
      <c r="D37" s="77" t="str" cm="1">
        <f t="array" ref="D37">IFERROR(IF(Status="Enter Data","-",INDEX(Table1[Model no.],MAX(MATCH("OK",Table1[Disp.Hull Thrust],0),MATCH("OK",Table1[Light Comm. Shaft Torque],0)),1)),"Consult Dealer")</f>
        <v>-</v>
      </c>
      <c r="E37" s="21"/>
      <c r="G37" s="64"/>
      <c r="J37" s="23"/>
      <c r="K37" s="23"/>
    </row>
    <row r="38" spans="1:11" ht="18" customHeight="1">
      <c r="A38" s="27" t="s">
        <v>28</v>
      </c>
      <c r="B38" s="77" t="str" cm="1">
        <f t="array" ref="B38">IFERROR(IF(Status="Enter Data","-",INDEX(Table1[Model no.],MAX(MATCH("OK",Table1[Planing hull Thrust],0),MATCH("OK",Table1[Heavy Comm. Shaft Torque],0)),1)),"Consult Dealer")</f>
        <v>-</v>
      </c>
      <c r="C38" s="77" t="str" cm="1">
        <f t="array" ref="C38">IFERROR(IF(Status="Enter Data","-",INDEX(Table1[Model no.],MAX(MATCH("OK",Table1[Semi Disp. Hull Thrust],0),MATCH("OK",Table1[Heavy Comm. Shaft Torque],0)),1)),"Consult Dealer")</f>
        <v>-</v>
      </c>
      <c r="D38" s="77" t="str" cm="1">
        <f t="array" ref="D38">IFERROR(IF(Status="Enter Data","-",INDEX(Table1[Model no.],MAX(MATCH("OK",Table1[Disp.Hull Thrust],0),MATCH("OK",Table1[Heavy Comm. Shaft Torque],0)),1)),"Consult Dealer")</f>
        <v>-</v>
      </c>
      <c r="E38" s="21"/>
      <c r="G38" s="64"/>
      <c r="J38" s="23"/>
      <c r="K38" s="23"/>
    </row>
    <row r="39" spans="1:11" ht="18" customHeight="1">
      <c r="A39" s="16"/>
      <c r="E39" s="21"/>
      <c r="G39" s="64"/>
      <c r="J39" s="23"/>
      <c r="K39" s="23"/>
    </row>
    <row r="40" spans="1:11" ht="18" customHeight="1">
      <c r="A40" s="27" t="s">
        <v>106</v>
      </c>
      <c r="B40" s="96" t="s">
        <v>110</v>
      </c>
      <c r="C40" s="96"/>
      <c r="D40" s="96"/>
      <c r="E40" s="9" t="s">
        <v>122</v>
      </c>
      <c r="G40" s="64"/>
      <c r="J40" s="23"/>
      <c r="K40" s="23"/>
    </row>
    <row r="41" spans="1:11" ht="18" customHeight="1">
      <c r="A41" s="27" t="s">
        <v>107</v>
      </c>
      <c r="B41" s="96" t="s">
        <v>27</v>
      </c>
      <c r="C41" s="96"/>
      <c r="D41" s="8" t="s">
        <v>122</v>
      </c>
      <c r="E41" s="21"/>
      <c r="G41" s="64"/>
      <c r="J41" s="23"/>
      <c r="K41" s="23"/>
    </row>
    <row r="42" spans="1:11" ht="18" customHeight="1">
      <c r="A42" s="27" t="s">
        <v>108</v>
      </c>
      <c r="B42" s="78" t="str">
        <f>INDEX($B$36:$D$38,MATCH($B$41,$A$36:$A$38,0),MATCH(B40,B35:D35,0))</f>
        <v>-</v>
      </c>
      <c r="C42" s="84" t="s">
        <v>123</v>
      </c>
      <c r="D42" s="83" t="s">
        <v>130</v>
      </c>
      <c r="E42" s="36"/>
      <c r="G42" s="64"/>
      <c r="J42" s="23"/>
      <c r="K42" s="23"/>
    </row>
    <row r="43" spans="1:11" ht="18" customHeight="1">
      <c r="E43" s="21"/>
      <c r="G43" s="64"/>
      <c r="J43" s="23"/>
      <c r="K43" s="23"/>
    </row>
    <row r="44" spans="1:11" s="8" customFormat="1" ht="34.950000000000003" customHeight="1">
      <c r="A44" s="7"/>
      <c r="B44" s="70" t="s">
        <v>116</v>
      </c>
      <c r="C44" s="70" t="s">
        <v>117</v>
      </c>
      <c r="D44" s="70" t="s">
        <v>128</v>
      </c>
      <c r="E44" s="70" t="s">
        <v>120</v>
      </c>
      <c r="G44" s="66"/>
      <c r="J44" s="23"/>
      <c r="K44" s="23"/>
    </row>
    <row r="45" spans="1:11" s="8" customFormat="1" ht="18" customHeight="1">
      <c r="A45" s="27" t="s">
        <v>113</v>
      </c>
      <c r="B45" s="85" t="str">
        <f>IFERROR(INDEX(Table1[Max Shaft Torque
kgm],MATCH(B42,Table1[Model no.],0),1),"-")</f>
        <v>-</v>
      </c>
      <c r="C45" s="85" t="str">
        <f>IF(B45="-","-",B14)</f>
        <v>-</v>
      </c>
      <c r="D45" s="85" t="str">
        <f>IFERROR(B45-C45,"-")</f>
        <v>-</v>
      </c>
      <c r="E45" s="86" t="str">
        <f>IFERROR(D45/B45,"-")</f>
        <v>-</v>
      </c>
      <c r="G45" s="66"/>
      <c r="J45" s="23"/>
      <c r="K45" s="23"/>
    </row>
    <row r="46" spans="1:11" s="8" customFormat="1" ht="18" customHeight="1">
      <c r="A46" s="27" t="s">
        <v>129</v>
      </c>
      <c r="B46" s="87" t="str">
        <f>IFERROR(INDEX(Table1[Max Shaft Torque
kgm],MATCH(E42,Table1[Model no.],0),1),"")</f>
        <v/>
      </c>
      <c r="C46" s="87" t="str">
        <f>IF(B46="","",B14)</f>
        <v/>
      </c>
      <c r="D46" s="87" t="str">
        <f>IFERROR(B46-C46,"")</f>
        <v/>
      </c>
      <c r="E46" s="88" t="str">
        <f>IFERROR(D46/B46,"")</f>
        <v/>
      </c>
      <c r="G46" s="66"/>
      <c r="J46" s="23"/>
      <c r="K46" s="23"/>
    </row>
    <row r="47" spans="1:11" s="8" customFormat="1" ht="34.950000000000003" customHeight="1">
      <c r="A47" s="27"/>
      <c r="B47" s="70" t="s">
        <v>115</v>
      </c>
      <c r="C47" s="70" t="s">
        <v>118</v>
      </c>
      <c r="D47" s="70" t="s">
        <v>119</v>
      </c>
      <c r="E47" s="70" t="s">
        <v>121</v>
      </c>
      <c r="G47" s="66"/>
      <c r="J47" s="23"/>
      <c r="K47" s="23"/>
    </row>
    <row r="48" spans="1:11" ht="18" customHeight="1">
      <c r="A48" s="27" t="s">
        <v>114</v>
      </c>
      <c r="B48" s="85" t="str">
        <f>IFERROR(INDEX(Table1[Max Prop Thrust (kN)],MATCH(B42,Table1[Model no.],0),1),"-")</f>
        <v>-</v>
      </c>
      <c r="C48" s="85" t="str">
        <f>IFERROR(IF(B48="-","-",INDEX(C18:C20,MATCH(B40,A18:A20,0),1)),"-")</f>
        <v>-</v>
      </c>
      <c r="D48" s="85" t="str">
        <f>IFERROR(B48-C48,"-")</f>
        <v>-</v>
      </c>
      <c r="E48" s="86" t="str">
        <f>IFERROR(D48/B48,"-")</f>
        <v>-</v>
      </c>
      <c r="G48" s="64"/>
      <c r="J48" s="23"/>
      <c r="K48" s="23"/>
    </row>
    <row r="49" spans="1:7" ht="18" customHeight="1">
      <c r="A49" s="89" t="s">
        <v>129</v>
      </c>
      <c r="B49" s="87" t="str">
        <f>IFERROR(INDEX(Table1[Max Prop Thrust (kN)],MATCH(E42,Table1[Model no.],0),1),"-")</f>
        <v>-</v>
      </c>
      <c r="C49" s="87" t="str">
        <f>IFERROR(IF(B49="-","-",INDEX(C18:C20,MATCH(B40,A18:A20,0),1)),"-")</f>
        <v>-</v>
      </c>
      <c r="D49" s="87" t="str">
        <f>IFERROR(B49-C49,"")</f>
        <v/>
      </c>
      <c r="E49" s="88" t="str">
        <f>IFERROR(D49/B49,"-")</f>
        <v>-</v>
      </c>
      <c r="G49" s="64"/>
    </row>
    <row r="50" spans="1:7" ht="15" customHeight="1">
      <c r="G50" s="64"/>
    </row>
    <row r="51" spans="1:7" ht="15" customHeight="1">
      <c r="G51" s="64"/>
    </row>
    <row r="52" spans="1:7" ht="15" customHeight="1">
      <c r="G52" s="64" t="s">
        <v>109</v>
      </c>
    </row>
    <row r="53" spans="1:7">
      <c r="G53" s="65">
        <v>1</v>
      </c>
    </row>
    <row r="54" spans="1:7">
      <c r="G54" s="65">
        <v>0.99</v>
      </c>
    </row>
    <row r="55" spans="1:7">
      <c r="G55" s="65">
        <v>0.98</v>
      </c>
    </row>
    <row r="56" spans="1:7">
      <c r="G56" s="65">
        <v>0.97</v>
      </c>
    </row>
    <row r="57" spans="1:7">
      <c r="G57" s="65">
        <v>0.96</v>
      </c>
    </row>
    <row r="58" spans="1:7">
      <c r="G58" s="65">
        <v>0.95</v>
      </c>
    </row>
    <row r="59" spans="1:7">
      <c r="G59" s="65">
        <v>0.94</v>
      </c>
    </row>
    <row r="60" spans="1:7">
      <c r="G60" s="65">
        <v>0.93</v>
      </c>
    </row>
    <row r="61" spans="1:7">
      <c r="G61" s="65">
        <v>0.92</v>
      </c>
    </row>
    <row r="62" spans="1:7">
      <c r="G62" s="65">
        <v>0.91</v>
      </c>
    </row>
    <row r="63" spans="1:7">
      <c r="G63" s="65">
        <v>0.9</v>
      </c>
    </row>
    <row r="64" spans="1:7">
      <c r="G64" s="65">
        <v>0.89</v>
      </c>
    </row>
    <row r="65" spans="7:7">
      <c r="G65" s="65">
        <v>0.88</v>
      </c>
    </row>
    <row r="66" spans="7:7">
      <c r="G66" s="65">
        <v>0.87</v>
      </c>
    </row>
    <row r="67" spans="7:7">
      <c r="G67" s="65">
        <v>0.86</v>
      </c>
    </row>
    <row r="68" spans="7:7">
      <c r="G68" s="65">
        <v>0.85</v>
      </c>
    </row>
  </sheetData>
  <mergeCells count="4">
    <mergeCell ref="A2:E2"/>
    <mergeCell ref="A22:E22"/>
    <mergeCell ref="B40:D40"/>
    <mergeCell ref="B41:C41"/>
  </mergeCells>
  <conditionalFormatting sqref="B4">
    <cfRule type="cellIs" dxfId="21" priority="3" operator="equal">
      <formula>"Enter Data"</formula>
    </cfRule>
  </conditionalFormatting>
  <conditionalFormatting sqref="B5 D5">
    <cfRule type="expression" dxfId="20" priority="1">
      <formula>NOT(ISBLANK($B$6))</formula>
    </cfRule>
  </conditionalFormatting>
  <conditionalFormatting sqref="B6 D6">
    <cfRule type="expression" dxfId="19" priority="2">
      <formula>NOT(ISBLANK($B$5))</formula>
    </cfRule>
  </conditionalFormatting>
  <dataValidations count="3">
    <dataValidation type="list" allowBlank="1" showInputMessage="1" showErrorMessage="1" sqref="B41:C41" xr:uid="{D1771DD6-B3F0-4DC8-8DD6-833B8BB9DD02}">
      <formula1>$A$36:$A$38</formula1>
    </dataValidation>
    <dataValidation type="list" allowBlank="1" showInputMessage="1" showErrorMessage="1" sqref="B40" xr:uid="{27274FC9-262E-4867-ADFF-B703CD1CB474}">
      <formula1>$B$35:$D$35</formula1>
    </dataValidation>
    <dataValidation type="list" allowBlank="1" showInputMessage="1" showErrorMessage="1" sqref="B9" xr:uid="{6E2DFA87-B62F-40A1-B1A1-ABB93DAAA794}">
      <formula1>$G$53:$G$68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&amp;LFile:&amp;F&amp;CPage &amp;P of &amp;N&amp;RDate Printed:&amp;D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ED316-C8CC-4761-B711-D41BAA9EFA46}">
          <x14:formula1>
            <xm:f>MATRIX!$A$2:$A$19</xm:f>
          </x14:formula1>
          <xm:sqref>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9"/>
  <sheetViews>
    <sheetView showGridLines="0" zoomScaleNormal="100" workbookViewId="0">
      <selection activeCell="D1" sqref="D1"/>
    </sheetView>
  </sheetViews>
  <sheetFormatPr defaultRowHeight="14.4"/>
  <cols>
    <col min="1" max="1" width="10.88671875" bestFit="1" customWidth="1"/>
    <col min="2" max="2" width="15.77734375" style="56" customWidth="1"/>
    <col min="3" max="3" width="15.77734375" style="57" customWidth="1"/>
    <col min="4" max="4" width="15.77734375" style="58" customWidth="1"/>
    <col min="5" max="5" width="15.77734375" style="59" customWidth="1"/>
    <col min="6" max="7" width="22.21875" customWidth="1"/>
    <col min="8" max="8" width="8.88671875" style="60"/>
    <col min="9" max="11" width="11.77734375" style="61" customWidth="1"/>
    <col min="12" max="12" width="12.77734375" style="61" customWidth="1"/>
    <col min="13" max="14" width="12.77734375" style="58" customWidth="1"/>
  </cols>
  <sheetData>
    <row r="1" spans="1:14" s="47" customFormat="1" ht="41.4">
      <c r="A1" s="38" t="s">
        <v>35</v>
      </c>
      <c r="B1" s="39" t="s">
        <v>54</v>
      </c>
      <c r="C1" s="40" t="s">
        <v>55</v>
      </c>
      <c r="D1" s="41" t="s">
        <v>56</v>
      </c>
      <c r="E1" s="42" t="s">
        <v>57</v>
      </c>
      <c r="F1" s="43" t="s">
        <v>58</v>
      </c>
      <c r="G1" s="43" t="s">
        <v>96</v>
      </c>
      <c r="H1" s="44" t="s">
        <v>76</v>
      </c>
      <c r="I1" s="62" t="s">
        <v>89</v>
      </c>
      <c r="J1" s="62" t="s">
        <v>92</v>
      </c>
      <c r="K1" s="62" t="s">
        <v>91</v>
      </c>
      <c r="L1" s="45" t="s">
        <v>88</v>
      </c>
      <c r="M1" s="45" t="s">
        <v>93</v>
      </c>
      <c r="N1" s="46" t="s">
        <v>94</v>
      </c>
    </row>
    <row r="2" spans="1:14">
      <c r="A2" s="48" t="s">
        <v>36</v>
      </c>
      <c r="B2" s="49">
        <v>30</v>
      </c>
      <c r="C2" s="50">
        <v>294</v>
      </c>
      <c r="D2" s="51" t="s">
        <v>59</v>
      </c>
      <c r="E2" s="52">
        <v>4.4000000000000004</v>
      </c>
      <c r="F2" s="53" t="s">
        <v>60</v>
      </c>
      <c r="G2" s="53" t="s">
        <v>97</v>
      </c>
      <c r="H2" s="54"/>
      <c r="I2" s="79" t="str">
        <f>IF(PlaningThrust&lt;=Table1[[#This Row],[Max Prop Thrust (kN)]],"OK","NOK")</f>
        <v>OK</v>
      </c>
      <c r="J2" s="79" t="str">
        <f>IF(SemiDispThrust&lt;=Table1[[#This Row],[Max Prop Thrust (kN)]],"OK","NOK")</f>
        <v>OK</v>
      </c>
      <c r="K2" s="79" t="str">
        <f>IF(DispThrust&lt;=Table1[[#This Row],[Max Prop Thrust (kN)]],"OK","NOK")</f>
        <v>OK</v>
      </c>
      <c r="L2" s="79" t="str">
        <f>IF(PleasureBoat&lt;=Table1[[#This Row],[Max Shaft Torque
kgm]],"OK","NOK")</f>
        <v>NOK</v>
      </c>
      <c r="M2" s="80" t="str">
        <f>IF(LightCommercial&lt;=Table1[[#This Row],[Max Shaft Torque
kgm]],"OK","NOK")</f>
        <v>NOK</v>
      </c>
      <c r="N2" s="80" t="str">
        <f>IF(HeavyCommercial&lt;=Table1[[#This Row],[Max Shaft Torque
kgm]],"OK","NOK")</f>
        <v>NOK</v>
      </c>
    </row>
    <row r="3" spans="1:14">
      <c r="A3" s="48" t="s">
        <v>37</v>
      </c>
      <c r="B3" s="49">
        <v>60</v>
      </c>
      <c r="C3" s="50">
        <v>588</v>
      </c>
      <c r="D3" s="55" t="s">
        <v>100</v>
      </c>
      <c r="E3" s="52">
        <v>5.7</v>
      </c>
      <c r="F3" s="53" t="s">
        <v>61</v>
      </c>
      <c r="G3" s="53" t="s">
        <v>97</v>
      </c>
      <c r="H3" s="54"/>
      <c r="I3" s="79" t="str">
        <f>IF(PlaningThrust&lt;=Table1[[#This Row],[Max Prop Thrust (kN)]],"OK","NOK")</f>
        <v>OK</v>
      </c>
      <c r="J3" s="79" t="str">
        <f>IF(SemiDispThrust&lt;=Table1[[#This Row],[Max Prop Thrust (kN)]],"OK","NOK")</f>
        <v>OK</v>
      </c>
      <c r="K3" s="79" t="str">
        <f>IF(DispThrust&lt;=Table1[[#This Row],[Max Prop Thrust (kN)]],"OK","NOK")</f>
        <v>OK</v>
      </c>
      <c r="L3" s="79" t="str">
        <f>IF(PleasureBoat&lt;=Table1[[#This Row],[Max Shaft Torque
kgm]],"OK","NOK")</f>
        <v>NOK</v>
      </c>
      <c r="M3" s="80" t="str">
        <f>IF(LightCommercial&lt;=Table1[[#This Row],[Max Shaft Torque
kgm]],"OK","NOK")</f>
        <v>NOK</v>
      </c>
      <c r="N3" s="80" t="str">
        <f>IF(HeavyCommercial&lt;=Table1[[#This Row],[Max Shaft Torque
kgm]],"OK","NOK")</f>
        <v>NOK</v>
      </c>
    </row>
    <row r="4" spans="1:14">
      <c r="A4" s="48" t="s">
        <v>38</v>
      </c>
      <c r="B4" s="49">
        <v>60</v>
      </c>
      <c r="C4" s="50">
        <v>588</v>
      </c>
      <c r="D4" s="55" t="s">
        <v>100</v>
      </c>
      <c r="E4" s="52">
        <v>5.7</v>
      </c>
      <c r="F4" s="53" t="str">
        <f>F3</f>
        <v>70 Hp / 2600rpm 3.5:1</v>
      </c>
      <c r="G4" s="53" t="s">
        <v>97</v>
      </c>
      <c r="H4" s="54"/>
      <c r="I4" s="79" t="str">
        <f>IF(PlaningThrust&lt;=Table1[[#This Row],[Max Prop Thrust (kN)]],"OK","NOK")</f>
        <v>OK</v>
      </c>
      <c r="J4" s="79" t="str">
        <f>IF(SemiDispThrust&lt;=Table1[[#This Row],[Max Prop Thrust (kN)]],"OK","NOK")</f>
        <v>OK</v>
      </c>
      <c r="K4" s="79" t="str">
        <f>IF(DispThrust&lt;=Table1[[#This Row],[Max Prop Thrust (kN)]],"OK","NOK")</f>
        <v>OK</v>
      </c>
      <c r="L4" s="79" t="str">
        <f>IF(PleasureBoat&lt;=Table1[[#This Row],[Max Shaft Torque
kgm]],"OK","NOK")</f>
        <v>NOK</v>
      </c>
      <c r="M4" s="80" t="str">
        <f>IF(LightCommercial&lt;=Table1[[#This Row],[Max Shaft Torque
kgm]],"OK","NOK")</f>
        <v>NOK</v>
      </c>
      <c r="N4" s="80" t="str">
        <f>IF(HeavyCommercial&lt;=Table1[[#This Row],[Max Shaft Torque
kgm]],"OK","NOK")</f>
        <v>NOK</v>
      </c>
    </row>
    <row r="5" spans="1:14">
      <c r="A5" s="48" t="s">
        <v>39</v>
      </c>
      <c r="B5" s="49">
        <v>80</v>
      </c>
      <c r="C5" s="50">
        <v>785</v>
      </c>
      <c r="D5" s="55" t="s">
        <v>62</v>
      </c>
      <c r="E5" s="52">
        <v>8</v>
      </c>
      <c r="F5" s="53" t="s">
        <v>63</v>
      </c>
      <c r="G5" s="53" t="s">
        <v>97</v>
      </c>
      <c r="H5" s="54"/>
      <c r="I5" s="79" t="str">
        <f>IF(PlaningThrust&lt;=Table1[[#This Row],[Max Prop Thrust (kN)]],"OK","NOK")</f>
        <v>OK</v>
      </c>
      <c r="J5" s="79" t="str">
        <f>IF(SemiDispThrust&lt;=Table1[[#This Row],[Max Prop Thrust (kN)]],"OK","NOK")</f>
        <v>OK</v>
      </c>
      <c r="K5" s="79" t="str">
        <f>IF(DispThrust&lt;=Table1[[#This Row],[Max Prop Thrust (kN)]],"OK","NOK")</f>
        <v>OK</v>
      </c>
      <c r="L5" s="79" t="str">
        <f>IF(PleasureBoat&lt;=Table1[[#This Row],[Max Shaft Torque
kgm]],"OK","NOK")</f>
        <v>NOK</v>
      </c>
      <c r="M5" s="80" t="str">
        <f>IF(LightCommercial&lt;=Table1[[#This Row],[Max Shaft Torque
kgm]],"OK","NOK")</f>
        <v>NOK</v>
      </c>
      <c r="N5" s="80" t="str">
        <f>IF(HeavyCommercial&lt;=Table1[[#This Row],[Max Shaft Torque
kgm]],"OK","NOK")</f>
        <v>NOK</v>
      </c>
    </row>
    <row r="6" spans="1:14">
      <c r="A6" s="48" t="s">
        <v>40</v>
      </c>
      <c r="B6" s="49">
        <v>80</v>
      </c>
      <c r="C6" s="50">
        <v>785</v>
      </c>
      <c r="D6" s="55" t="s">
        <v>62</v>
      </c>
      <c r="E6" s="52">
        <v>12</v>
      </c>
      <c r="F6" s="53" t="s">
        <v>64</v>
      </c>
      <c r="G6" s="53" t="s">
        <v>97</v>
      </c>
      <c r="H6" s="54"/>
      <c r="I6" s="79" t="str">
        <f>IF(PlaningThrust&lt;=Table1[[#This Row],[Max Prop Thrust (kN)]],"OK","NOK")</f>
        <v>OK</v>
      </c>
      <c r="J6" s="79" t="str">
        <f>IF(SemiDispThrust&lt;=Table1[[#This Row],[Max Prop Thrust (kN)]],"OK","NOK")</f>
        <v>OK</v>
      </c>
      <c r="K6" s="79" t="str">
        <f>IF(DispThrust&lt;=Table1[[#This Row],[Max Prop Thrust (kN)]],"OK","NOK")</f>
        <v>OK</v>
      </c>
      <c r="L6" s="79" t="str">
        <f>IF(PleasureBoat&lt;=Table1[[#This Row],[Max Shaft Torque
kgm]],"OK","NOK")</f>
        <v>NOK</v>
      </c>
      <c r="M6" s="80" t="str">
        <f>IF(LightCommercial&lt;=Table1[[#This Row],[Max Shaft Torque
kgm]],"OK","NOK")</f>
        <v>NOK</v>
      </c>
      <c r="N6" s="80" t="str">
        <f>IF(HeavyCommercial&lt;=Table1[[#This Row],[Max Shaft Torque
kgm]],"OK","NOK")</f>
        <v>NOK</v>
      </c>
    </row>
    <row r="7" spans="1:14">
      <c r="A7" s="48" t="s">
        <v>41</v>
      </c>
      <c r="B7" s="49">
        <v>110</v>
      </c>
      <c r="C7" s="50">
        <v>1080</v>
      </c>
      <c r="D7" s="55" t="s">
        <v>62</v>
      </c>
      <c r="E7" s="52">
        <v>12</v>
      </c>
      <c r="F7" s="53" t="s">
        <v>66</v>
      </c>
      <c r="G7" s="53" t="s">
        <v>98</v>
      </c>
      <c r="H7" s="54"/>
      <c r="I7" s="79" t="str">
        <f>IF(PlaningThrust&lt;=Table1[[#This Row],[Max Prop Thrust (kN)]],"OK","NOK")</f>
        <v>OK</v>
      </c>
      <c r="J7" s="79" t="str">
        <f>IF(SemiDispThrust&lt;=Table1[[#This Row],[Max Prop Thrust (kN)]],"OK","NOK")</f>
        <v>OK</v>
      </c>
      <c r="K7" s="79" t="str">
        <f>IF(DispThrust&lt;=Table1[[#This Row],[Max Prop Thrust (kN)]],"OK","NOK")</f>
        <v>OK</v>
      </c>
      <c r="L7" s="79" t="str">
        <f>IF(PleasureBoat&lt;=Table1[[#This Row],[Max Shaft Torque
kgm]],"OK","NOK")</f>
        <v>NOK</v>
      </c>
      <c r="M7" s="80" t="str">
        <f>IF(LightCommercial&lt;=Table1[[#This Row],[Max Shaft Torque
kgm]],"OK","NOK")</f>
        <v>NOK</v>
      </c>
      <c r="N7" s="80" t="str">
        <f>IF(HeavyCommercial&lt;=Table1[[#This Row],[Max Shaft Torque
kgm]],"OK","NOK")</f>
        <v>NOK</v>
      </c>
    </row>
    <row r="8" spans="1:14">
      <c r="A8" s="48" t="s">
        <v>42</v>
      </c>
      <c r="B8" s="49">
        <v>110</v>
      </c>
      <c r="C8" s="50">
        <v>1080</v>
      </c>
      <c r="D8" s="55" t="s">
        <v>69</v>
      </c>
      <c r="E8" s="52">
        <v>18</v>
      </c>
      <c r="F8" s="53" t="s">
        <v>67</v>
      </c>
      <c r="G8" s="53" t="s">
        <v>98</v>
      </c>
      <c r="H8" s="54"/>
      <c r="I8" s="79" t="str">
        <f>IF(PlaningThrust&lt;=Table1[[#This Row],[Max Prop Thrust (kN)]],"OK","NOK")</f>
        <v>OK</v>
      </c>
      <c r="J8" s="79" t="str">
        <f>IF(SemiDispThrust&lt;=Table1[[#This Row],[Max Prop Thrust (kN)]],"OK","NOK")</f>
        <v>OK</v>
      </c>
      <c r="K8" s="79" t="str">
        <f>IF(DispThrust&lt;=Table1[[#This Row],[Max Prop Thrust (kN)]],"OK","NOK")</f>
        <v>OK</v>
      </c>
      <c r="L8" s="79" t="str">
        <f>IF(PleasureBoat&lt;=Table1[[#This Row],[Max Shaft Torque
kgm]],"OK","NOK")</f>
        <v>NOK</v>
      </c>
      <c r="M8" s="80" t="str">
        <f>IF(LightCommercial&lt;=Table1[[#This Row],[Max Shaft Torque
kgm]],"OK","NOK")</f>
        <v>NOK</v>
      </c>
      <c r="N8" s="80" t="str">
        <f>IF(HeavyCommercial&lt;=Table1[[#This Row],[Max Shaft Torque
kgm]],"OK","NOK")</f>
        <v>NOK</v>
      </c>
    </row>
    <row r="9" spans="1:14">
      <c r="A9" s="48" t="s">
        <v>43</v>
      </c>
      <c r="B9" s="49">
        <v>140</v>
      </c>
      <c r="C9" s="50">
        <v>1370</v>
      </c>
      <c r="D9" s="55" t="s">
        <v>68</v>
      </c>
      <c r="E9" s="52">
        <v>18</v>
      </c>
      <c r="F9" s="53" t="s">
        <v>70</v>
      </c>
      <c r="G9" s="53" t="s">
        <v>98</v>
      </c>
      <c r="H9" s="54"/>
      <c r="I9" s="79" t="str">
        <f>IF(PlaningThrust&lt;=Table1[[#This Row],[Max Prop Thrust (kN)]],"OK","NOK")</f>
        <v>OK</v>
      </c>
      <c r="J9" s="79" t="str">
        <f>IF(SemiDispThrust&lt;=Table1[[#This Row],[Max Prop Thrust (kN)]],"OK","NOK")</f>
        <v>OK</v>
      </c>
      <c r="K9" s="79" t="str">
        <f>IF(DispThrust&lt;=Table1[[#This Row],[Max Prop Thrust (kN)]],"OK","NOK")</f>
        <v>OK</v>
      </c>
      <c r="L9" s="79" t="str">
        <f>IF(PleasureBoat&lt;=Table1[[#This Row],[Max Shaft Torque
kgm]],"OK","NOK")</f>
        <v>NOK</v>
      </c>
      <c r="M9" s="80" t="str">
        <f>IF(LightCommercial&lt;=Table1[[#This Row],[Max Shaft Torque
kgm]],"OK","NOK")</f>
        <v>NOK</v>
      </c>
      <c r="N9" s="80" t="str">
        <f>IF(HeavyCommercial&lt;=Table1[[#This Row],[Max Shaft Torque
kgm]],"OK","NOK")</f>
        <v>NOK</v>
      </c>
    </row>
    <row r="10" spans="1:14">
      <c r="A10" s="48" t="s">
        <v>44</v>
      </c>
      <c r="B10" s="49">
        <v>200</v>
      </c>
      <c r="C10" s="50">
        <v>1960</v>
      </c>
      <c r="D10" s="55" t="s">
        <v>71</v>
      </c>
      <c r="E10" s="52">
        <v>18</v>
      </c>
      <c r="F10" s="53" t="s">
        <v>72</v>
      </c>
      <c r="G10" s="53" t="s">
        <v>95</v>
      </c>
      <c r="H10" s="54"/>
      <c r="I10" s="79" t="str">
        <f>IF(PlaningThrust&lt;=Table1[[#This Row],[Max Prop Thrust (kN)]],"OK","NOK")</f>
        <v>OK</v>
      </c>
      <c r="J10" s="79" t="str">
        <f>IF(SemiDispThrust&lt;=Table1[[#This Row],[Max Prop Thrust (kN)]],"OK","NOK")</f>
        <v>OK</v>
      </c>
      <c r="K10" s="79" t="str">
        <f>IF(DispThrust&lt;=Table1[[#This Row],[Max Prop Thrust (kN)]],"OK","NOK")</f>
        <v>OK</v>
      </c>
      <c r="L10" s="79" t="str">
        <f>IF(PleasureBoat&lt;=Table1[[#This Row],[Max Shaft Torque
kgm]],"OK","NOK")</f>
        <v>NOK</v>
      </c>
      <c r="M10" s="80" t="str">
        <f>IF(LightCommercial&lt;=Table1[[#This Row],[Max Shaft Torque
kgm]],"OK","NOK")</f>
        <v>NOK</v>
      </c>
      <c r="N10" s="80" t="str">
        <f>IF(HeavyCommercial&lt;=Table1[[#This Row],[Max Shaft Torque
kgm]],"OK","NOK")</f>
        <v>NOK</v>
      </c>
    </row>
    <row r="11" spans="1:14">
      <c r="A11" s="48" t="s">
        <v>45</v>
      </c>
      <c r="B11" s="49">
        <v>200</v>
      </c>
      <c r="C11" s="50">
        <v>1960</v>
      </c>
      <c r="D11" s="55" t="s">
        <v>71</v>
      </c>
      <c r="E11" s="52">
        <v>22</v>
      </c>
      <c r="F11" s="53" t="s">
        <v>73</v>
      </c>
      <c r="G11" s="53"/>
      <c r="H11" s="54"/>
      <c r="I11" s="79" t="str">
        <f>IF(PlaningThrust&lt;=Table1[[#This Row],[Max Prop Thrust (kN)]],"OK","NOK")</f>
        <v>OK</v>
      </c>
      <c r="J11" s="79" t="str">
        <f>IF(SemiDispThrust&lt;=Table1[[#This Row],[Max Prop Thrust (kN)]],"OK","NOK")</f>
        <v>OK</v>
      </c>
      <c r="K11" s="79" t="str">
        <f>IF(DispThrust&lt;=Table1[[#This Row],[Max Prop Thrust (kN)]],"OK","NOK")</f>
        <v>OK</v>
      </c>
      <c r="L11" s="79" t="str">
        <f>IF(PleasureBoat&lt;=Table1[[#This Row],[Max Shaft Torque
kgm]],"OK","NOK")</f>
        <v>NOK</v>
      </c>
      <c r="M11" s="80" t="str">
        <f>IF(LightCommercial&lt;=Table1[[#This Row],[Max Shaft Torque
kgm]],"OK","NOK")</f>
        <v>NOK</v>
      </c>
      <c r="N11" s="80" t="str">
        <f>IF(HeavyCommercial&lt;=Table1[[#This Row],[Max Shaft Torque
kgm]],"OK","NOK")</f>
        <v>NOK</v>
      </c>
    </row>
    <row r="12" spans="1:14">
      <c r="A12" s="48" t="s">
        <v>46</v>
      </c>
      <c r="B12" s="49">
        <v>200</v>
      </c>
      <c r="C12" s="50">
        <v>1960</v>
      </c>
      <c r="D12" s="55" t="s">
        <v>74</v>
      </c>
      <c r="E12" s="52">
        <v>30</v>
      </c>
      <c r="F12" s="53" t="s">
        <v>75</v>
      </c>
      <c r="G12" s="53"/>
      <c r="H12" s="54">
        <v>1500</v>
      </c>
      <c r="I12" s="79" t="str">
        <f>IF(PlaningThrust&lt;=Table1[[#This Row],[Max Prop Thrust (kN)]],"OK","NOK")</f>
        <v>OK</v>
      </c>
      <c r="J12" s="79" t="str">
        <f>IF(SemiDispThrust&lt;=Table1[[#This Row],[Max Prop Thrust (kN)]],"OK","NOK")</f>
        <v>OK</v>
      </c>
      <c r="K12" s="79" t="str">
        <f>IF(DispThrust&lt;=Table1[[#This Row],[Max Prop Thrust (kN)]],"OK","NOK")</f>
        <v>OK</v>
      </c>
      <c r="L12" s="79" t="str">
        <f>IF(PleasureBoat&lt;=Table1[[#This Row],[Max Shaft Torque
kgm]],"OK","NOK")</f>
        <v>NOK</v>
      </c>
      <c r="M12" s="80" t="str">
        <f>IF(LightCommercial&lt;=Table1[[#This Row],[Max Shaft Torque
kgm]],"OK","NOK")</f>
        <v>NOK</v>
      </c>
      <c r="N12" s="80" t="str">
        <f>IF(HeavyCommercial&lt;=Table1[[#This Row],[Max Shaft Torque
kgm]],"OK","NOK")</f>
        <v>NOK</v>
      </c>
    </row>
    <row r="13" spans="1:14">
      <c r="A13" s="48" t="s">
        <v>47</v>
      </c>
      <c r="B13" s="49">
        <v>500</v>
      </c>
      <c r="C13" s="50">
        <v>4900</v>
      </c>
      <c r="D13" s="55" t="s">
        <v>74</v>
      </c>
      <c r="E13" s="52">
        <v>22</v>
      </c>
      <c r="F13" s="53" t="s">
        <v>65</v>
      </c>
      <c r="G13" s="53" t="s">
        <v>99</v>
      </c>
      <c r="H13" s="54">
        <f>H12</f>
        <v>1500</v>
      </c>
      <c r="I13" s="79" t="str">
        <f>IF(PlaningThrust&lt;=Table1[[#This Row],[Max Prop Thrust (kN)]],"OK","NOK")</f>
        <v>OK</v>
      </c>
      <c r="J13" s="79" t="str">
        <f>IF(SemiDispThrust&lt;=Table1[[#This Row],[Max Prop Thrust (kN)]],"OK","NOK")</f>
        <v>OK</v>
      </c>
      <c r="K13" s="79" t="str">
        <f>IF(DispThrust&lt;=Table1[[#This Row],[Max Prop Thrust (kN)]],"OK","NOK")</f>
        <v>OK</v>
      </c>
      <c r="L13" s="79" t="str">
        <f>IF(PleasureBoat&lt;=Table1[[#This Row],[Max Shaft Torque
kgm]],"OK","NOK")</f>
        <v>NOK</v>
      </c>
      <c r="M13" s="80" t="str">
        <f>IF(LightCommercial&lt;=Table1[[#This Row],[Max Shaft Torque
kgm]],"OK","NOK")</f>
        <v>NOK</v>
      </c>
      <c r="N13" s="80" t="str">
        <f>IF(HeavyCommercial&lt;=Table1[[#This Row],[Max Shaft Torque
kgm]],"OK","NOK")</f>
        <v>NOK</v>
      </c>
    </row>
    <row r="14" spans="1:14">
      <c r="A14" s="48" t="s">
        <v>48</v>
      </c>
      <c r="B14" s="49">
        <v>500</v>
      </c>
      <c r="C14" s="50">
        <v>4900</v>
      </c>
      <c r="D14" s="51" t="s">
        <v>77</v>
      </c>
      <c r="E14" s="52">
        <v>30</v>
      </c>
      <c r="F14" s="53" t="s">
        <v>78</v>
      </c>
      <c r="G14" s="53" t="s">
        <v>99</v>
      </c>
      <c r="H14" s="54"/>
      <c r="I14" s="79" t="str">
        <f>IF(PlaningThrust&lt;=Table1[[#This Row],[Max Prop Thrust (kN)]],"OK","NOK")</f>
        <v>OK</v>
      </c>
      <c r="J14" s="79" t="str">
        <f>IF(SemiDispThrust&lt;=Table1[[#This Row],[Max Prop Thrust (kN)]],"OK","NOK")</f>
        <v>OK</v>
      </c>
      <c r="K14" s="79" t="str">
        <f>IF(DispThrust&lt;=Table1[[#This Row],[Max Prop Thrust (kN)]],"OK","NOK")</f>
        <v>OK</v>
      </c>
      <c r="L14" s="79" t="str">
        <f>IF(PleasureBoat&lt;=Table1[[#This Row],[Max Shaft Torque
kgm]],"OK","NOK")</f>
        <v>NOK</v>
      </c>
      <c r="M14" s="80" t="str">
        <f>IF(LightCommercial&lt;=Table1[[#This Row],[Max Shaft Torque
kgm]],"OK","NOK")</f>
        <v>NOK</v>
      </c>
      <c r="N14" s="80" t="str">
        <f>IF(HeavyCommercial&lt;=Table1[[#This Row],[Max Shaft Torque
kgm]],"OK","NOK")</f>
        <v>NOK</v>
      </c>
    </row>
    <row r="15" spans="1:14">
      <c r="A15" s="48" t="s">
        <v>49</v>
      </c>
      <c r="B15" s="49">
        <v>500</v>
      </c>
      <c r="C15" s="50">
        <v>4900</v>
      </c>
      <c r="D15" s="55" t="s">
        <v>77</v>
      </c>
      <c r="E15" s="52">
        <v>45</v>
      </c>
      <c r="F15" s="53" t="s">
        <v>79</v>
      </c>
      <c r="G15" s="53" t="s">
        <v>99</v>
      </c>
      <c r="H15" s="54">
        <v>1500</v>
      </c>
      <c r="I15" s="79" t="str">
        <f>IF(PlaningThrust&lt;=Table1[[#This Row],[Max Prop Thrust (kN)]],"OK","NOK")</f>
        <v>OK</v>
      </c>
      <c r="J15" s="79" t="str">
        <f>IF(SemiDispThrust&lt;=Table1[[#This Row],[Max Prop Thrust (kN)]],"OK","NOK")</f>
        <v>OK</v>
      </c>
      <c r="K15" s="79" t="str">
        <f>IF(DispThrust&lt;=Table1[[#This Row],[Max Prop Thrust (kN)]],"OK","NOK")</f>
        <v>OK</v>
      </c>
      <c r="L15" s="79" t="str">
        <f>IF(PleasureBoat&lt;=Table1[[#This Row],[Max Shaft Torque
kgm]],"OK","NOK")</f>
        <v>NOK</v>
      </c>
      <c r="M15" s="80" t="str">
        <f>IF(LightCommercial&lt;=Table1[[#This Row],[Max Shaft Torque
kgm]],"OK","NOK")</f>
        <v>NOK</v>
      </c>
      <c r="N15" s="80" t="str">
        <f>IF(HeavyCommercial&lt;=Table1[[#This Row],[Max Shaft Torque
kgm]],"OK","NOK")</f>
        <v>NOK</v>
      </c>
    </row>
    <row r="16" spans="1:14">
      <c r="A16" s="48" t="s">
        <v>50</v>
      </c>
      <c r="B16" s="49">
        <v>750</v>
      </c>
      <c r="C16" s="50">
        <v>7355</v>
      </c>
      <c r="D16" s="55" t="s">
        <v>80</v>
      </c>
      <c r="E16" s="52">
        <v>45</v>
      </c>
      <c r="F16" s="53" t="s">
        <v>81</v>
      </c>
      <c r="G16" s="53"/>
      <c r="H16" s="54">
        <f t="shared" ref="H16:H19" si="0">H15</f>
        <v>1500</v>
      </c>
      <c r="I16" s="79" t="str">
        <f>IF(PlaningThrust&lt;=Table1[[#This Row],[Max Prop Thrust (kN)]],"OK","NOK")</f>
        <v>OK</v>
      </c>
      <c r="J16" s="79" t="str">
        <f>IF(SemiDispThrust&lt;=Table1[[#This Row],[Max Prop Thrust (kN)]],"OK","NOK")</f>
        <v>OK</v>
      </c>
      <c r="K16" s="79" t="str">
        <f>IF(DispThrust&lt;=Table1[[#This Row],[Max Prop Thrust (kN)]],"OK","NOK")</f>
        <v>OK</v>
      </c>
      <c r="L16" s="79" t="str">
        <f>IF(PleasureBoat&lt;=Table1[[#This Row],[Max Shaft Torque
kgm]],"OK","NOK")</f>
        <v>NOK</v>
      </c>
      <c r="M16" s="80" t="str">
        <f>IF(LightCommercial&lt;=Table1[[#This Row],[Max Shaft Torque
kgm]],"OK","NOK")</f>
        <v>NOK</v>
      </c>
      <c r="N16" s="80" t="str">
        <f>IF(HeavyCommercial&lt;=Table1[[#This Row],[Max Shaft Torque
kgm]],"OK","NOK")</f>
        <v>NOK</v>
      </c>
    </row>
    <row r="17" spans="1:14">
      <c r="A17" s="48" t="s">
        <v>51</v>
      </c>
      <c r="B17" s="49">
        <v>1000</v>
      </c>
      <c r="C17" s="50">
        <v>9810</v>
      </c>
      <c r="D17" s="55" t="s">
        <v>80</v>
      </c>
      <c r="E17" s="52">
        <f>E16</f>
        <v>45</v>
      </c>
      <c r="F17" s="53" t="s">
        <v>82</v>
      </c>
      <c r="G17" s="53"/>
      <c r="H17" s="54">
        <f t="shared" si="0"/>
        <v>1500</v>
      </c>
      <c r="I17" s="79" t="str">
        <f>IF(PlaningThrust&lt;=Table1[[#This Row],[Max Prop Thrust (kN)]],"OK","NOK")</f>
        <v>OK</v>
      </c>
      <c r="J17" s="79" t="str">
        <f>IF(SemiDispThrust&lt;=Table1[[#This Row],[Max Prop Thrust (kN)]],"OK","NOK")</f>
        <v>OK</v>
      </c>
      <c r="K17" s="79" t="str">
        <f>IF(DispThrust&lt;=Table1[[#This Row],[Max Prop Thrust (kN)]],"OK","NOK")</f>
        <v>OK</v>
      </c>
      <c r="L17" s="79" t="str">
        <f>IF(PleasureBoat&lt;=Table1[[#This Row],[Max Shaft Torque
kgm]],"OK","NOK")</f>
        <v>NOK</v>
      </c>
      <c r="M17" s="80" t="str">
        <f>IF(LightCommercial&lt;=Table1[[#This Row],[Max Shaft Torque
kgm]],"OK","NOK")</f>
        <v>NOK</v>
      </c>
      <c r="N17" s="80" t="str">
        <f>IF(HeavyCommercial&lt;=Table1[[#This Row],[Max Shaft Torque
kgm]],"OK","NOK")</f>
        <v>NOK</v>
      </c>
    </row>
    <row r="18" spans="1:14">
      <c r="A18" s="48" t="s">
        <v>52</v>
      </c>
      <c r="B18" s="49">
        <v>1000</v>
      </c>
      <c r="C18" s="50">
        <v>9810</v>
      </c>
      <c r="D18" s="55" t="s">
        <v>83</v>
      </c>
      <c r="E18" s="52">
        <v>60</v>
      </c>
      <c r="F18" s="53" t="s">
        <v>84</v>
      </c>
      <c r="G18" s="53"/>
      <c r="H18" s="54">
        <f t="shared" si="0"/>
        <v>1500</v>
      </c>
      <c r="I18" s="79" t="str">
        <f>IF(PlaningThrust&lt;=Table1[[#This Row],[Max Prop Thrust (kN)]],"OK","NOK")</f>
        <v>OK</v>
      </c>
      <c r="J18" s="79" t="str">
        <f>IF(SemiDispThrust&lt;=Table1[[#This Row],[Max Prop Thrust (kN)]],"OK","NOK")</f>
        <v>OK</v>
      </c>
      <c r="K18" s="79" t="str">
        <f>IF(DispThrust&lt;=Table1[[#This Row],[Max Prop Thrust (kN)]],"OK","NOK")</f>
        <v>OK</v>
      </c>
      <c r="L18" s="79" t="str">
        <f>IF(PleasureBoat&lt;=Table1[[#This Row],[Max Shaft Torque
kgm]],"OK","NOK")</f>
        <v>NOK</v>
      </c>
      <c r="M18" s="80" t="str">
        <f>IF(LightCommercial&lt;=Table1[[#This Row],[Max Shaft Torque
kgm]],"OK","NOK")</f>
        <v>NOK</v>
      </c>
      <c r="N18" s="80" t="str">
        <f>IF(HeavyCommercial&lt;=Table1[[#This Row],[Max Shaft Torque
kgm]],"OK","NOK")</f>
        <v>NOK</v>
      </c>
    </row>
    <row r="19" spans="1:14">
      <c r="A19" s="48" t="s">
        <v>53</v>
      </c>
      <c r="B19" s="49">
        <v>1500</v>
      </c>
      <c r="C19" s="50">
        <v>14715</v>
      </c>
      <c r="D19" s="55" t="s">
        <v>85</v>
      </c>
      <c r="E19" s="52">
        <v>60</v>
      </c>
      <c r="F19" s="53" t="s">
        <v>86</v>
      </c>
      <c r="G19" s="53"/>
      <c r="H19" s="54">
        <f t="shared" si="0"/>
        <v>1500</v>
      </c>
      <c r="I19" s="79" t="str">
        <f>IF(PlaningThrust&lt;=Table1[[#This Row],[Max Prop Thrust (kN)]],"OK","NOK")</f>
        <v>OK</v>
      </c>
      <c r="J19" s="79" t="str">
        <f>IF(SemiDispThrust&lt;=Table1[[#This Row],[Max Prop Thrust (kN)]],"OK","NOK")</f>
        <v>OK</v>
      </c>
      <c r="K19" s="79" t="str">
        <f>IF(DispThrust&lt;=Table1[[#This Row],[Max Prop Thrust (kN)]],"OK","NOK")</f>
        <v>OK</v>
      </c>
      <c r="L19" s="79" t="str">
        <f>IF(PleasureBoat&lt;=Table1[[#This Row],[Max Shaft Torque
kgm]],"OK","NOK")</f>
        <v>NOK</v>
      </c>
      <c r="M19" s="80" t="str">
        <f>IF(LightCommercial&lt;=Table1[[#This Row],[Max Shaft Torque
kgm]],"OK","NOK")</f>
        <v>NOK</v>
      </c>
      <c r="N19" s="80" t="str">
        <f>IF(HeavyCommercial&lt;=Table1[[#This Row],[Max Shaft Torque
kgm]],"OK","NOK")</f>
        <v>NOK</v>
      </c>
    </row>
  </sheetData>
  <phoneticPr fontId="14" type="noConversion"/>
  <conditionalFormatting sqref="I2:N19">
    <cfRule type="cellIs" dxfId="18" priority="1" operator="equal">
      <formula>"OK"</formula>
    </cfRule>
    <cfRule type="cellIs" dxfId="17" priority="2" operator="equal">
      <formula>"NOK"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87DB-9758-48C4-BD8B-517DCA8713DE}">
  <dimension ref="W1:AB103"/>
  <sheetViews>
    <sheetView showGridLines="0" topLeftCell="A66" zoomScale="85" zoomScaleNormal="85" workbookViewId="0">
      <selection activeCell="L93" sqref="L93"/>
    </sheetView>
  </sheetViews>
  <sheetFormatPr defaultRowHeight="14.4"/>
  <cols>
    <col min="1" max="2" width="2.77734375" customWidth="1"/>
    <col min="18" max="19" width="2.77734375" customWidth="1"/>
    <col min="21" max="21" width="9.33203125" bestFit="1" customWidth="1"/>
    <col min="23" max="23" width="9.77734375" bestFit="1" customWidth="1"/>
    <col min="24" max="24" width="25.5546875" style="81" bestFit="1" customWidth="1"/>
    <col min="25" max="25" width="25.5546875" style="81" customWidth="1"/>
    <col min="26" max="26" width="26" style="81" bestFit="1" customWidth="1"/>
    <col min="27" max="27" width="26" style="81" customWidth="1"/>
  </cols>
  <sheetData>
    <row r="1" ht="7.05" customHeight="1"/>
    <row r="82" spans="23:28" ht="7.05" customHeight="1"/>
    <row r="85" spans="23:28">
      <c r="X85" s="81" t="s">
        <v>127</v>
      </c>
      <c r="Z85" s="81" t="s">
        <v>126</v>
      </c>
    </row>
    <row r="86" spans="23:28">
      <c r="W86" t="s">
        <v>36</v>
      </c>
      <c r="X86" s="82">
        <v>19</v>
      </c>
      <c r="Y86" s="82">
        <v>30</v>
      </c>
      <c r="Z86" s="82">
        <f>Y86-X86</f>
        <v>11</v>
      </c>
      <c r="AB86" t="s">
        <v>59</v>
      </c>
    </row>
    <row r="87" spans="23:28">
      <c r="W87" t="s">
        <v>37</v>
      </c>
      <c r="X87" s="82">
        <v>25</v>
      </c>
      <c r="Y87" s="82">
        <v>40</v>
      </c>
      <c r="Z87" s="82">
        <f t="shared" ref="Z87:Z103" si="0">Y87-X87</f>
        <v>15</v>
      </c>
      <c r="AB87" t="s">
        <v>100</v>
      </c>
    </row>
    <row r="88" spans="23:28">
      <c r="W88" t="s">
        <v>38</v>
      </c>
      <c r="X88" s="82">
        <v>25</v>
      </c>
      <c r="Y88" s="82">
        <v>40</v>
      </c>
      <c r="Z88" s="82">
        <f t="shared" si="0"/>
        <v>15</v>
      </c>
      <c r="AB88" t="s">
        <v>100</v>
      </c>
    </row>
    <row r="89" spans="23:28">
      <c r="W89" t="s">
        <v>39</v>
      </c>
      <c r="X89" s="82">
        <v>30</v>
      </c>
      <c r="Y89" s="82">
        <v>45</v>
      </c>
      <c r="Z89" s="82">
        <f t="shared" si="0"/>
        <v>15</v>
      </c>
      <c r="AB89" t="s">
        <v>62</v>
      </c>
    </row>
    <row r="90" spans="23:28">
      <c r="W90" t="s">
        <v>40</v>
      </c>
      <c r="X90" s="82">
        <v>30</v>
      </c>
      <c r="Y90" s="82">
        <v>45</v>
      </c>
      <c r="Z90" s="82">
        <f t="shared" si="0"/>
        <v>15</v>
      </c>
      <c r="AB90" t="s">
        <v>62</v>
      </c>
    </row>
    <row r="91" spans="23:28">
      <c r="W91" t="s">
        <v>41</v>
      </c>
      <c r="X91" s="82">
        <v>30</v>
      </c>
      <c r="Y91" s="82">
        <v>45</v>
      </c>
      <c r="Z91" s="82">
        <f t="shared" si="0"/>
        <v>15</v>
      </c>
      <c r="AB91" t="s">
        <v>62</v>
      </c>
    </row>
    <row r="92" spans="23:28">
      <c r="W92" t="s">
        <v>42</v>
      </c>
      <c r="X92" s="82">
        <v>35</v>
      </c>
      <c r="Y92" s="82">
        <v>50</v>
      </c>
      <c r="Z92" s="82">
        <f t="shared" si="0"/>
        <v>15</v>
      </c>
      <c r="AB92" t="s">
        <v>69</v>
      </c>
    </row>
    <row r="93" spans="23:28">
      <c r="W93" t="s">
        <v>43</v>
      </c>
      <c r="X93" s="82">
        <v>40</v>
      </c>
      <c r="Y93" s="82">
        <v>55</v>
      </c>
      <c r="Z93" s="82">
        <f t="shared" si="0"/>
        <v>15</v>
      </c>
      <c r="AB93" t="s">
        <v>68</v>
      </c>
    </row>
    <row r="94" spans="23:28">
      <c r="W94" t="s">
        <v>44</v>
      </c>
      <c r="X94" s="82">
        <v>40</v>
      </c>
      <c r="Y94" s="82">
        <v>60</v>
      </c>
      <c r="Z94" s="82">
        <f t="shared" si="0"/>
        <v>20</v>
      </c>
      <c r="AB94" t="s">
        <v>71</v>
      </c>
    </row>
    <row r="95" spans="23:28">
      <c r="W95" t="s">
        <v>45</v>
      </c>
      <c r="X95" s="82">
        <v>40</v>
      </c>
      <c r="Y95" s="82">
        <v>60</v>
      </c>
      <c r="Z95" s="82">
        <f t="shared" si="0"/>
        <v>20</v>
      </c>
      <c r="AB95" t="s">
        <v>71</v>
      </c>
    </row>
    <row r="96" spans="23:28">
      <c r="W96" t="s">
        <v>46</v>
      </c>
      <c r="X96" s="82">
        <v>50</v>
      </c>
      <c r="Y96" s="82">
        <v>60</v>
      </c>
      <c r="Z96" s="82">
        <f t="shared" si="0"/>
        <v>10</v>
      </c>
      <c r="AB96" t="s">
        <v>74</v>
      </c>
    </row>
    <row r="97" spans="23:28">
      <c r="W97" t="s">
        <v>47</v>
      </c>
      <c r="X97" s="82">
        <v>50</v>
      </c>
      <c r="Y97" s="82">
        <v>60</v>
      </c>
      <c r="Z97" s="82">
        <f t="shared" si="0"/>
        <v>10</v>
      </c>
      <c r="AB97" t="s">
        <v>74</v>
      </c>
    </row>
    <row r="98" spans="23:28">
      <c r="W98" t="s">
        <v>48</v>
      </c>
      <c r="X98" s="82">
        <v>50</v>
      </c>
      <c r="Y98" s="82">
        <v>80</v>
      </c>
      <c r="Z98" s="82">
        <f t="shared" si="0"/>
        <v>30</v>
      </c>
      <c r="AB98" t="s">
        <v>77</v>
      </c>
    </row>
    <row r="99" spans="23:28">
      <c r="W99" t="s">
        <v>49</v>
      </c>
      <c r="X99" s="82">
        <v>50</v>
      </c>
      <c r="Y99" s="82">
        <v>80</v>
      </c>
      <c r="Z99" s="82">
        <f t="shared" si="0"/>
        <v>30</v>
      </c>
      <c r="AB99" t="s">
        <v>77</v>
      </c>
    </row>
    <row r="100" spans="23:28">
      <c r="W100" t="s">
        <v>50</v>
      </c>
      <c r="X100" s="82">
        <v>70</v>
      </c>
      <c r="Y100" s="82">
        <v>80</v>
      </c>
      <c r="Z100" s="82">
        <f t="shared" si="0"/>
        <v>10</v>
      </c>
      <c r="AB100" t="s">
        <v>80</v>
      </c>
    </row>
    <row r="101" spans="23:28">
      <c r="W101" t="s">
        <v>51</v>
      </c>
      <c r="X101" s="82">
        <v>70</v>
      </c>
      <c r="Y101" s="82">
        <v>80</v>
      </c>
      <c r="Z101" s="82">
        <f t="shared" si="0"/>
        <v>10</v>
      </c>
      <c r="AB101" t="s">
        <v>80</v>
      </c>
    </row>
    <row r="102" spans="23:28">
      <c r="W102" t="s">
        <v>52</v>
      </c>
      <c r="X102" s="82">
        <v>70</v>
      </c>
      <c r="Y102" s="82">
        <v>100</v>
      </c>
      <c r="Z102" s="82">
        <f t="shared" si="0"/>
        <v>30</v>
      </c>
      <c r="AB102" t="s">
        <v>83</v>
      </c>
    </row>
    <row r="103" spans="23:28">
      <c r="W103" t="s">
        <v>53</v>
      </c>
      <c r="X103" s="82">
        <v>80</v>
      </c>
      <c r="Y103" s="82">
        <v>100</v>
      </c>
      <c r="Z103" s="82">
        <f t="shared" si="0"/>
        <v>20</v>
      </c>
      <c r="AB103" t="s">
        <v>85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9b317e-58d2-4a00-8cc0-0d94fa1e4dfb">
      <Terms xmlns="http://schemas.microsoft.com/office/infopath/2007/PartnerControls"/>
    </lcf76f155ced4ddcb4097134ff3c332f>
    <TaxCatchAll xmlns="5452b4cb-bbf4-4bee-9bcc-71a7df9fae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86C98402B2749B46CA4506B431ED6" ma:contentTypeVersion="16" ma:contentTypeDescription="Create a new document." ma:contentTypeScope="" ma:versionID="cdd2639bc4d8d3caf554d492f35f8b11">
  <xsd:schema xmlns:xsd="http://www.w3.org/2001/XMLSchema" xmlns:xs="http://www.w3.org/2001/XMLSchema" xmlns:p="http://schemas.microsoft.com/office/2006/metadata/properties" xmlns:ns2="819b317e-58d2-4a00-8cc0-0d94fa1e4dfb" xmlns:ns3="5452b4cb-bbf4-4bee-9bcc-71a7df9fae44" targetNamespace="http://schemas.microsoft.com/office/2006/metadata/properties" ma:root="true" ma:fieldsID="7260fa36c5c5014d161c6d05786b4e2a" ns2:_="" ns3:_="">
    <xsd:import namespace="819b317e-58d2-4a00-8cc0-0d94fa1e4dfb"/>
    <xsd:import namespace="5452b4cb-bbf4-4bee-9bcc-71a7df9fa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317e-58d2-4a00-8cc0-0d94fa1e4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50bb7e6-59fb-407f-9e39-aed6e1eb9a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b4cb-bbf4-4bee-9bcc-71a7df9fae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25389df-f23e-4efe-a5f0-72b1907a2995}" ma:internalName="TaxCatchAll" ma:showField="CatchAllData" ma:web="5452b4cb-bbf4-4bee-9bcc-71a7df9fa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149E6-8ABE-4585-B3C9-F0238FBCD827}">
  <ds:schemaRefs>
    <ds:schemaRef ds:uri="http://schemas.microsoft.com/office/2006/metadata/properties"/>
    <ds:schemaRef ds:uri="http://schemas.microsoft.com/office/infopath/2007/PartnerControls"/>
    <ds:schemaRef ds:uri="819b317e-58d2-4a00-8cc0-0d94fa1e4dfb"/>
    <ds:schemaRef ds:uri="5452b4cb-bbf4-4bee-9bcc-71a7df9fae44"/>
  </ds:schemaRefs>
</ds:datastoreItem>
</file>

<file path=customXml/itemProps2.xml><?xml version="1.0" encoding="utf-8"?>
<ds:datastoreItem xmlns:ds="http://schemas.openxmlformats.org/officeDocument/2006/customXml" ds:itemID="{5360989F-2AE3-47AE-B1E4-BB4054A83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317e-58d2-4a00-8cc0-0d94fa1e4dfb"/>
    <ds:schemaRef ds:uri="5452b4cb-bbf4-4bee-9bcc-71a7df9fa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65686-31DC-4F0D-B83F-1A0537A9A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INPUT</vt:lpstr>
      <vt:lpstr>MATRIX</vt:lpstr>
      <vt:lpstr>CHARTS</vt:lpstr>
      <vt:lpstr>DispThrust</vt:lpstr>
      <vt:lpstr>GBE</vt:lpstr>
      <vt:lpstr>HeavyCommercial</vt:lpstr>
      <vt:lpstr>LightCommercial</vt:lpstr>
      <vt:lpstr>MET</vt:lpstr>
      <vt:lpstr>MHP</vt:lpstr>
      <vt:lpstr>MKW</vt:lpstr>
      <vt:lpstr>MST</vt:lpstr>
      <vt:lpstr>PlaningThrust</vt:lpstr>
      <vt:lpstr>PleasureBoat</vt:lpstr>
      <vt:lpstr>INPUT!Print_Area</vt:lpstr>
      <vt:lpstr>RPM</vt:lpstr>
      <vt:lpstr>SemiDispThrust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Laurence Bellamy | Lancing Marine</cp:lastModifiedBy>
  <cp:lastPrinted>2025-05-25T08:33:04Z</cp:lastPrinted>
  <dcterms:created xsi:type="dcterms:W3CDTF">2009-02-02T11:17:26Z</dcterms:created>
  <dcterms:modified xsi:type="dcterms:W3CDTF">2025-05-27T18:17:15Z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0x010100B7786C98402B2749B46CA4506B431ED6</vt:lpwstr>
  </property>
  <property fmtid="{D5CDD505-2E9C-101B-9397-08002B2CF9AE}" pid="3" name="MediaServiceImageTags">
    <vt:lpwstr/>
  </property>
</Properties>
</file>